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20" windowWidth="9135" windowHeight="4455"/>
  </bookViews>
  <sheets>
    <sheet name="Veröffentlichungen bis 2011" sheetId="3" r:id="rId1"/>
  </sheets>
  <definedNames>
    <definedName name="_xlnm.Print_Area" localSheetId="0">'Veröffentlichungen bis 2011'!$A$1:$Y$975</definedName>
  </definedNames>
  <calcPr calcId="145621" iterate="1" iterateCount="1"/>
</workbook>
</file>

<file path=xl/calcChain.xml><?xml version="1.0" encoding="utf-8"?>
<calcChain xmlns="http://schemas.openxmlformats.org/spreadsheetml/2006/main">
  <c r="X279" i="3" l="1"/>
  <c r="X278" i="3"/>
  <c r="X276" i="3"/>
  <c r="X274" i="3"/>
  <c r="X269" i="3"/>
  <c r="X268" i="3"/>
  <c r="X400" i="3" l="1"/>
  <c r="X390" i="3"/>
  <c r="X365" i="3"/>
  <c r="X627" i="3" l="1"/>
  <c r="X493" i="3"/>
  <c r="X906" i="3" l="1"/>
  <c r="X164" i="3" l="1"/>
  <c r="X456" i="3" l="1"/>
  <c r="X453" i="3"/>
  <c r="X423" i="3"/>
  <c r="X421" i="3"/>
  <c r="X415" i="3"/>
  <c r="X414" i="3"/>
  <c r="X413" i="3"/>
  <c r="X568" i="3" l="1"/>
  <c r="W423" i="3"/>
  <c r="W493" i="3"/>
  <c r="V493" i="3"/>
  <c r="U493" i="3"/>
  <c r="T493" i="3"/>
  <c r="W289" i="3"/>
  <c r="W287" i="3"/>
  <c r="W286" i="3"/>
  <c r="V289" i="3"/>
  <c r="V287" i="3"/>
  <c r="V286" i="3"/>
  <c r="U289" i="3"/>
  <c r="U287" i="3"/>
  <c r="U286" i="3"/>
  <c r="W568" i="3"/>
  <c r="W164" i="3"/>
  <c r="W627" i="3"/>
  <c r="W400" i="3"/>
  <c r="W390" i="3"/>
  <c r="W365" i="3"/>
  <c r="W456" i="3"/>
  <c r="W453" i="3"/>
  <c r="W421" i="3"/>
  <c r="W415" i="3"/>
  <c r="W414" i="3"/>
  <c r="W413" i="3"/>
  <c r="W906" i="3"/>
  <c r="V500" i="3"/>
  <c r="V495" i="3"/>
  <c r="V119" i="3"/>
  <c r="V115" i="3"/>
  <c r="U456" i="3"/>
  <c r="T456" i="3"/>
  <c r="V456" i="3"/>
  <c r="V453" i="3"/>
  <c r="V423" i="3"/>
  <c r="V421" i="3"/>
  <c r="V415" i="3"/>
  <c r="V414" i="3"/>
  <c r="V413" i="3"/>
  <c r="V164" i="3"/>
  <c r="V259" i="3"/>
  <c r="V627" i="3"/>
  <c r="V400" i="3"/>
  <c r="U400" i="3"/>
  <c r="V390" i="3"/>
  <c r="V365" i="3"/>
  <c r="V269" i="3"/>
  <c r="V253" i="3"/>
  <c r="V906" i="3"/>
  <c r="U568" i="3"/>
  <c r="U627" i="3"/>
  <c r="U581" i="3"/>
  <c r="D549" i="3"/>
  <c r="C549" i="3"/>
  <c r="U509" i="3"/>
  <c r="U508" i="3"/>
  <c r="U507" i="3"/>
  <c r="D509" i="3"/>
  <c r="C509" i="3"/>
  <c r="D508" i="3"/>
  <c r="C508" i="3"/>
  <c r="D507" i="3"/>
  <c r="C507" i="3"/>
  <c r="U365" i="3"/>
  <c r="U269" i="3"/>
  <c r="U259" i="3"/>
  <c r="U253" i="3"/>
  <c r="U47" i="3"/>
  <c r="U46" i="3"/>
  <c r="U45" i="3"/>
  <c r="D47" i="3"/>
  <c r="C47" i="3"/>
  <c r="D46" i="3"/>
  <c r="C46" i="3"/>
  <c r="U543" i="3"/>
  <c r="U542" i="3"/>
  <c r="U541" i="3"/>
  <c r="U539" i="3"/>
  <c r="U537" i="3"/>
  <c r="U536" i="3"/>
  <c r="U535" i="3"/>
  <c r="U533" i="3"/>
  <c r="U531" i="3"/>
  <c r="U529" i="3"/>
  <c r="U585" i="3"/>
  <c r="U584" i="3"/>
  <c r="U583" i="3"/>
  <c r="U577" i="3"/>
  <c r="U576" i="3"/>
  <c r="U573" i="3"/>
  <c r="U500" i="3"/>
  <c r="U495" i="3"/>
  <c r="U906" i="3"/>
  <c r="U453" i="3"/>
  <c r="U423" i="3"/>
  <c r="U421" i="3"/>
  <c r="U415" i="3"/>
  <c r="U414" i="3"/>
  <c r="U413" i="3"/>
  <c r="U161" i="3"/>
  <c r="E928" i="3"/>
  <c r="D928" i="3"/>
  <c r="E873" i="3"/>
  <c r="D873" i="3"/>
  <c r="E813" i="3"/>
  <c r="D813" i="3"/>
  <c r="E753" i="3"/>
  <c r="D753" i="3"/>
  <c r="E690" i="3"/>
  <c r="D690" i="3"/>
  <c r="E637" i="3"/>
  <c r="D637" i="3"/>
  <c r="E461" i="3"/>
  <c r="D461" i="3"/>
  <c r="E403" i="3"/>
  <c r="D403" i="3"/>
  <c r="D112" i="3"/>
  <c r="T289" i="3"/>
  <c r="T500" i="3"/>
  <c r="T495" i="3"/>
  <c r="T287" i="3"/>
  <c r="T286" i="3"/>
  <c r="C185" i="3"/>
  <c r="D185" i="3"/>
  <c r="T161" i="3"/>
  <c r="C9" i="3"/>
  <c r="D9" i="3"/>
  <c r="C12" i="3"/>
  <c r="C13" i="3"/>
  <c r="C14" i="3"/>
  <c r="C23" i="3"/>
  <c r="C24" i="3"/>
  <c r="C25" i="3"/>
  <c r="C26" i="3"/>
  <c r="C27" i="3"/>
  <c r="C28" i="3"/>
  <c r="C29" i="3"/>
  <c r="C31" i="3"/>
  <c r="P31" i="3"/>
  <c r="C32" i="3"/>
  <c r="C33" i="3"/>
  <c r="C34" i="3"/>
  <c r="C35" i="3"/>
  <c r="C37" i="3"/>
  <c r="P37" i="3"/>
  <c r="C39" i="3"/>
  <c r="C41" i="3"/>
  <c r="C56" i="3"/>
  <c r="D56" i="3"/>
  <c r="G56" i="3"/>
  <c r="H56" i="3"/>
  <c r="C57" i="3"/>
  <c r="D57" i="3"/>
  <c r="C58" i="3"/>
  <c r="D58" i="3"/>
  <c r="C60" i="3"/>
  <c r="D60" i="3"/>
  <c r="C61" i="3"/>
  <c r="D61" i="3"/>
  <c r="C62" i="3"/>
  <c r="D62" i="3"/>
  <c r="C63" i="3"/>
  <c r="D63" i="3"/>
  <c r="C64" i="3"/>
  <c r="D64" i="3"/>
  <c r="C70" i="3"/>
  <c r="D70" i="3"/>
  <c r="C72" i="3"/>
  <c r="D72" i="3"/>
  <c r="C75" i="3"/>
  <c r="D75" i="3"/>
  <c r="C77" i="3"/>
  <c r="D77" i="3"/>
  <c r="C101" i="3"/>
  <c r="C106" i="3"/>
  <c r="D106" i="3"/>
  <c r="C107" i="3"/>
  <c r="D107" i="3"/>
  <c r="C108" i="3"/>
  <c r="D108" i="3"/>
  <c r="C109" i="3"/>
  <c r="D109" i="3"/>
  <c r="C127" i="3"/>
  <c r="D127" i="3"/>
  <c r="C128" i="3"/>
  <c r="D128" i="3"/>
  <c r="C129" i="3"/>
  <c r="D129" i="3"/>
  <c r="C131" i="3"/>
  <c r="D131" i="3"/>
  <c r="C136" i="3"/>
  <c r="D136" i="3"/>
  <c r="C138" i="3"/>
  <c r="D138" i="3"/>
  <c r="C146" i="3"/>
  <c r="D146" i="3"/>
  <c r="C147" i="3"/>
  <c r="D147" i="3"/>
  <c r="C151" i="3"/>
  <c r="D151" i="3"/>
  <c r="K151" i="3"/>
  <c r="L151" i="3"/>
  <c r="D154" i="3"/>
  <c r="C155" i="3"/>
  <c r="D155" i="3"/>
  <c r="C156" i="3"/>
  <c r="D156" i="3"/>
  <c r="D158" i="3"/>
  <c r="C161" i="3"/>
  <c r="D161" i="3"/>
  <c r="G161" i="3"/>
  <c r="J161" i="3"/>
  <c r="K161" i="3"/>
  <c r="N161" i="3"/>
  <c r="O161" i="3"/>
  <c r="P161" i="3"/>
  <c r="Q161" i="3"/>
  <c r="R161" i="3"/>
  <c r="S161" i="3"/>
  <c r="C165" i="3"/>
  <c r="D165" i="3"/>
  <c r="C166" i="3"/>
  <c r="D166" i="3"/>
  <c r="D169" i="3"/>
  <c r="C172" i="3"/>
  <c r="D172" i="3"/>
  <c r="E172" i="3"/>
  <c r="C174" i="3"/>
  <c r="D174" i="3"/>
  <c r="C178" i="3"/>
  <c r="D178" i="3"/>
  <c r="C186" i="3"/>
  <c r="D186" i="3"/>
  <c r="C187" i="3"/>
  <c r="D187" i="3"/>
  <c r="C188" i="3"/>
  <c r="D188" i="3"/>
  <c r="C191" i="3"/>
  <c r="D191" i="3"/>
  <c r="C192" i="3"/>
  <c r="D192" i="3"/>
  <c r="C193" i="3"/>
  <c r="D193" i="3"/>
  <c r="C194" i="3"/>
  <c r="D194" i="3"/>
  <c r="C196" i="3"/>
  <c r="D196" i="3"/>
  <c r="C198" i="3"/>
  <c r="D198" i="3"/>
  <c r="G198" i="3"/>
  <c r="J198" i="3"/>
  <c r="K198" i="3"/>
  <c r="L198" i="3"/>
  <c r="M198" i="3"/>
  <c r="N198" i="3"/>
  <c r="O198" i="3"/>
  <c r="C201" i="3"/>
  <c r="D201" i="3"/>
  <c r="C202" i="3"/>
  <c r="D202" i="3"/>
  <c r="C203" i="3"/>
  <c r="D203" i="3"/>
  <c r="C205" i="3"/>
  <c r="D205" i="3"/>
  <c r="C211" i="3"/>
  <c r="C212" i="3"/>
  <c r="C213" i="3"/>
  <c r="C215" i="3"/>
  <c r="C216" i="3"/>
  <c r="C217" i="3"/>
  <c r="C218" i="3"/>
  <c r="C219" i="3"/>
  <c r="N219" i="3"/>
  <c r="P219" i="3"/>
  <c r="R219" i="3"/>
  <c r="S219" i="3"/>
  <c r="C220" i="3"/>
  <c r="C224" i="3"/>
  <c r="C226" i="3"/>
  <c r="C227" i="3"/>
  <c r="C233" i="3"/>
  <c r="C235" i="3"/>
  <c r="C238" i="3"/>
  <c r="C242" i="3"/>
  <c r="C243" i="3"/>
  <c r="C244" i="3"/>
  <c r="C247" i="3"/>
  <c r="D247" i="3"/>
  <c r="E247" i="3"/>
  <c r="C249" i="3"/>
  <c r="C250" i="3"/>
  <c r="C251" i="3"/>
  <c r="C252" i="3"/>
  <c r="C253" i="3"/>
  <c r="J253" i="3"/>
  <c r="N253" i="3"/>
  <c r="O253" i="3"/>
  <c r="P253" i="3"/>
  <c r="Q253" i="3"/>
  <c r="R253" i="3"/>
  <c r="C255" i="3"/>
  <c r="C256" i="3"/>
  <c r="C257" i="3"/>
  <c r="C259" i="3"/>
  <c r="J259" i="3"/>
  <c r="K259" i="3"/>
  <c r="L259" i="3"/>
  <c r="M259" i="3"/>
  <c r="N259" i="3"/>
  <c r="O259" i="3"/>
  <c r="P259" i="3"/>
  <c r="Q259" i="3"/>
  <c r="R259" i="3"/>
  <c r="S259" i="3"/>
  <c r="C262" i="3"/>
  <c r="C267" i="3"/>
  <c r="C269" i="3"/>
  <c r="H269" i="3"/>
  <c r="O269" i="3"/>
  <c r="P269" i="3"/>
  <c r="Q269" i="3"/>
  <c r="R269" i="3"/>
  <c r="S269" i="3"/>
  <c r="C270" i="3"/>
  <c r="C271" i="3"/>
  <c r="C274" i="3"/>
  <c r="C276" i="3"/>
  <c r="C278" i="3"/>
  <c r="C279" i="3"/>
  <c r="C280" i="3"/>
  <c r="C296" i="3"/>
  <c r="D296" i="3"/>
  <c r="C297" i="3"/>
  <c r="D297" i="3"/>
  <c r="C298" i="3"/>
  <c r="D298" i="3"/>
  <c r="C312" i="3"/>
  <c r="D312" i="3"/>
  <c r="C313" i="3"/>
  <c r="D313" i="3"/>
  <c r="C314" i="3"/>
  <c r="D314" i="3"/>
  <c r="C315" i="3"/>
  <c r="D315" i="3"/>
  <c r="C316" i="3"/>
  <c r="D316" i="3"/>
  <c r="C317" i="3"/>
  <c r="D317" i="3"/>
  <c r="C319" i="3"/>
  <c r="D319" i="3"/>
  <c r="C320" i="3"/>
  <c r="D320" i="3"/>
  <c r="C321" i="3"/>
  <c r="D321" i="3"/>
  <c r="C322" i="3"/>
  <c r="D322" i="3"/>
  <c r="C324" i="3"/>
  <c r="C327" i="3"/>
  <c r="D327" i="3"/>
  <c r="E327" i="3"/>
  <c r="C329" i="3"/>
  <c r="D329" i="3"/>
  <c r="C330" i="3"/>
  <c r="D330" i="3"/>
  <c r="C331" i="3"/>
  <c r="D331" i="3"/>
  <c r="C341" i="3"/>
  <c r="D341" i="3"/>
  <c r="C342" i="3"/>
  <c r="C343" i="3"/>
  <c r="D343" i="3"/>
  <c r="C344" i="3"/>
  <c r="C346" i="3"/>
  <c r="D346" i="3"/>
  <c r="C347" i="3"/>
  <c r="D347" i="3"/>
  <c r="C348" i="3"/>
  <c r="D348" i="3"/>
  <c r="C349" i="3"/>
  <c r="C350" i="3"/>
  <c r="D350" i="3"/>
  <c r="C351" i="3"/>
  <c r="D351" i="3"/>
  <c r="C354" i="3"/>
  <c r="C356" i="3"/>
  <c r="D356" i="3"/>
  <c r="J356" i="3"/>
  <c r="K356" i="3"/>
  <c r="L356" i="3"/>
  <c r="M356" i="3"/>
  <c r="N356" i="3"/>
  <c r="O356" i="3"/>
  <c r="C360" i="3"/>
  <c r="C361" i="3"/>
  <c r="C362" i="3"/>
  <c r="C364" i="3"/>
  <c r="C370" i="3"/>
  <c r="C371" i="3"/>
  <c r="C372" i="3"/>
  <c r="C373" i="3"/>
  <c r="C376" i="3"/>
  <c r="C377" i="3"/>
  <c r="C380" i="3"/>
  <c r="C383" i="3"/>
  <c r="C384" i="3"/>
  <c r="C385" i="3"/>
  <c r="C387" i="3"/>
  <c r="C389" i="3"/>
  <c r="C390" i="3"/>
  <c r="C391" i="3"/>
  <c r="C394" i="3"/>
  <c r="C395" i="3"/>
  <c r="C398" i="3"/>
  <c r="C400" i="3"/>
  <c r="C407" i="3"/>
  <c r="D407" i="3"/>
  <c r="Q407" i="3"/>
  <c r="Q409" i="3"/>
  <c r="C408" i="3"/>
  <c r="D408" i="3"/>
  <c r="Q408" i="3"/>
  <c r="C409" i="3"/>
  <c r="D409" i="3"/>
  <c r="C411" i="3"/>
  <c r="D411" i="3"/>
  <c r="C413" i="3"/>
  <c r="D413" i="3"/>
  <c r="L413" i="3"/>
  <c r="M413" i="3"/>
  <c r="N413" i="3"/>
  <c r="O413" i="3"/>
  <c r="P413" i="3"/>
  <c r="Q413" i="3"/>
  <c r="R413" i="3"/>
  <c r="S413" i="3"/>
  <c r="C414" i="3"/>
  <c r="D414" i="3"/>
  <c r="L414" i="3"/>
  <c r="M414" i="3"/>
  <c r="N414" i="3"/>
  <c r="P414" i="3"/>
  <c r="Q414" i="3"/>
  <c r="R414" i="3"/>
  <c r="S414" i="3"/>
  <c r="C415" i="3"/>
  <c r="D415" i="3"/>
  <c r="L415" i="3"/>
  <c r="M415" i="3"/>
  <c r="N415" i="3"/>
  <c r="P415" i="3"/>
  <c r="Q415" i="3"/>
  <c r="R415" i="3"/>
  <c r="S415" i="3"/>
  <c r="C416" i="3"/>
  <c r="D416" i="3"/>
  <c r="C418" i="3"/>
  <c r="D418" i="3"/>
  <c r="C419" i="3"/>
  <c r="D419" i="3"/>
  <c r="C420" i="3"/>
  <c r="D420" i="3"/>
  <c r="C422" i="3"/>
  <c r="D422" i="3"/>
  <c r="C423" i="3"/>
  <c r="D423" i="3"/>
  <c r="C424" i="3"/>
  <c r="D424" i="3"/>
  <c r="C425" i="3"/>
  <c r="D425" i="3"/>
  <c r="C426" i="3"/>
  <c r="D426" i="3"/>
  <c r="C427" i="3"/>
  <c r="D427" i="3"/>
  <c r="C428" i="3"/>
  <c r="D428" i="3"/>
  <c r="C429" i="3"/>
  <c r="D429" i="3"/>
  <c r="C431" i="3"/>
  <c r="D431" i="3"/>
  <c r="C432" i="3"/>
  <c r="D432" i="3"/>
  <c r="C435" i="3"/>
  <c r="D435" i="3"/>
  <c r="C437" i="3"/>
  <c r="D437" i="3"/>
  <c r="C440" i="3"/>
  <c r="D440" i="3"/>
  <c r="C441" i="3"/>
  <c r="D441" i="3"/>
  <c r="C442" i="3"/>
  <c r="D442" i="3"/>
  <c r="C445" i="3"/>
  <c r="D445" i="3"/>
  <c r="C449" i="3"/>
  <c r="D449" i="3"/>
  <c r="C452" i="3"/>
  <c r="D452" i="3"/>
  <c r="C453" i="3"/>
  <c r="D453" i="3"/>
  <c r="I453" i="3"/>
  <c r="O453" i="3"/>
  <c r="C454" i="3"/>
  <c r="D454" i="3"/>
  <c r="I454" i="3"/>
  <c r="C455" i="3"/>
  <c r="D455" i="3"/>
  <c r="I455" i="3"/>
  <c r="C456" i="3"/>
  <c r="D456" i="3"/>
  <c r="I456" i="3"/>
  <c r="K456" i="3"/>
  <c r="O456" i="3"/>
  <c r="R456" i="3"/>
  <c r="C463" i="3"/>
  <c r="D463" i="3"/>
  <c r="C464" i="3"/>
  <c r="D464" i="3"/>
  <c r="C465" i="3"/>
  <c r="D465" i="3"/>
  <c r="C476" i="3"/>
  <c r="D476" i="3"/>
  <c r="C477" i="3"/>
  <c r="D477" i="3"/>
  <c r="C478" i="3"/>
  <c r="D478" i="3"/>
  <c r="C479" i="3"/>
  <c r="D479" i="3"/>
  <c r="C480" i="3"/>
  <c r="D480" i="3"/>
  <c r="C481" i="3"/>
  <c r="D481" i="3"/>
  <c r="C482" i="3"/>
  <c r="D482" i="3"/>
  <c r="C484" i="3"/>
  <c r="D484" i="3"/>
  <c r="C485" i="3"/>
  <c r="D485" i="3"/>
  <c r="C486" i="3"/>
  <c r="D486" i="3"/>
  <c r="C487" i="3"/>
  <c r="D487" i="3"/>
  <c r="C491" i="3"/>
  <c r="C495" i="3"/>
  <c r="D495" i="3"/>
  <c r="C500" i="3"/>
  <c r="D500" i="3"/>
  <c r="K500" i="3"/>
  <c r="M500" i="3"/>
  <c r="N500" i="3"/>
  <c r="O500" i="3"/>
  <c r="P500" i="3"/>
  <c r="Q500" i="3"/>
  <c r="R500" i="3"/>
  <c r="S500" i="3"/>
  <c r="C502" i="3"/>
  <c r="D502" i="3"/>
  <c r="C518" i="3"/>
  <c r="D518" i="3"/>
  <c r="C519" i="3"/>
  <c r="D519" i="3"/>
  <c r="C520" i="3"/>
  <c r="D520" i="3"/>
  <c r="C523" i="3"/>
  <c r="D523" i="3"/>
  <c r="C524" i="3"/>
  <c r="D524" i="3"/>
  <c r="C526" i="3"/>
  <c r="D526" i="3"/>
  <c r="C527" i="3"/>
  <c r="D527" i="3"/>
  <c r="C547" i="3"/>
  <c r="D547" i="3"/>
  <c r="C566" i="3"/>
  <c r="D566" i="3"/>
  <c r="E566" i="3"/>
  <c r="C568" i="3"/>
  <c r="D568" i="3"/>
  <c r="C569" i="3"/>
  <c r="D569" i="3"/>
  <c r="C570" i="3"/>
  <c r="D570" i="3"/>
  <c r="C573" i="3"/>
  <c r="D573" i="3"/>
  <c r="C576" i="3"/>
  <c r="D576" i="3"/>
  <c r="D577" i="3"/>
  <c r="C579" i="3"/>
  <c r="D579" i="3"/>
  <c r="C583" i="3"/>
  <c r="D583" i="3"/>
  <c r="C584" i="3"/>
  <c r="D584" i="3"/>
  <c r="C585" i="3"/>
  <c r="D585" i="3"/>
  <c r="C587" i="3"/>
  <c r="D587" i="3"/>
  <c r="C594" i="3"/>
  <c r="C595" i="3"/>
  <c r="D595" i="3"/>
  <c r="C596" i="3"/>
  <c r="D596" i="3"/>
  <c r="C599" i="3"/>
  <c r="D599" i="3"/>
  <c r="C600" i="3"/>
  <c r="D600" i="3"/>
  <c r="C601" i="3"/>
  <c r="D601" i="3"/>
  <c r="C603" i="3"/>
  <c r="D603" i="3"/>
  <c r="C604" i="3"/>
  <c r="C607" i="3"/>
  <c r="D607" i="3"/>
  <c r="C610" i="3"/>
  <c r="D610" i="3"/>
  <c r="C611" i="3"/>
  <c r="D611" i="3"/>
  <c r="C612" i="3"/>
  <c r="D612" i="3"/>
  <c r="C614" i="3"/>
  <c r="D614" i="3"/>
  <c r="C615" i="3"/>
  <c r="D615" i="3"/>
  <c r="C616" i="3"/>
  <c r="D616" i="3"/>
  <c r="C619" i="3"/>
  <c r="D619" i="3"/>
  <c r="C622" i="3"/>
  <c r="D622" i="3"/>
  <c r="C623" i="3"/>
  <c r="D623" i="3"/>
  <c r="C627" i="3"/>
  <c r="D627" i="3"/>
  <c r="I627" i="3"/>
  <c r="J627" i="3"/>
  <c r="K627" i="3"/>
  <c r="L627" i="3"/>
  <c r="M627" i="3"/>
  <c r="N627" i="3"/>
  <c r="O627" i="3"/>
  <c r="P627" i="3"/>
  <c r="Q627" i="3"/>
  <c r="R627" i="3"/>
  <c r="S627" i="3"/>
  <c r="C629" i="3"/>
  <c r="D632" i="3"/>
  <c r="C639" i="3"/>
  <c r="D639" i="3"/>
  <c r="C640" i="3"/>
  <c r="D640" i="3"/>
  <c r="C641" i="3"/>
  <c r="D641" i="3"/>
  <c r="C643" i="3"/>
  <c r="D644" i="3"/>
  <c r="D645" i="3"/>
  <c r="C646" i="3"/>
  <c r="D646" i="3"/>
  <c r="C647" i="3"/>
  <c r="D647" i="3"/>
  <c r="C648" i="3"/>
  <c r="D648" i="3"/>
  <c r="C652" i="3"/>
  <c r="D652" i="3"/>
  <c r="C653" i="3"/>
  <c r="D653" i="3"/>
  <c r="C658" i="3"/>
  <c r="D658" i="3"/>
  <c r="C659" i="3"/>
  <c r="D659" i="3"/>
  <c r="C660" i="3"/>
  <c r="D660" i="3"/>
  <c r="C661" i="3"/>
  <c r="D661" i="3"/>
  <c r="C663" i="3"/>
  <c r="D663" i="3"/>
  <c r="C665" i="3"/>
  <c r="D665" i="3"/>
  <c r="C666" i="3"/>
  <c r="D666" i="3"/>
  <c r="C667" i="3"/>
  <c r="D667" i="3"/>
  <c r="C668" i="3"/>
  <c r="D668" i="3"/>
  <c r="C669" i="3"/>
  <c r="C672" i="3"/>
  <c r="D672" i="3"/>
  <c r="C678" i="3"/>
  <c r="D678" i="3"/>
  <c r="C679" i="3"/>
  <c r="D679" i="3"/>
  <c r="C680" i="3"/>
  <c r="D680" i="3"/>
  <c r="C682" i="3"/>
  <c r="D682" i="3"/>
  <c r="C683" i="3"/>
  <c r="D683" i="3"/>
  <c r="C685" i="3"/>
  <c r="D685" i="3"/>
  <c r="C688" i="3"/>
  <c r="D688" i="3"/>
  <c r="C692" i="3"/>
  <c r="D692" i="3"/>
  <c r="C693" i="3"/>
  <c r="D693" i="3"/>
  <c r="C694" i="3"/>
  <c r="D694" i="3"/>
  <c r="C696" i="3"/>
  <c r="D696" i="3"/>
  <c r="C697" i="3"/>
  <c r="D697" i="3"/>
  <c r="C699" i="3"/>
  <c r="D699" i="3"/>
  <c r="C701" i="3"/>
  <c r="D701" i="3"/>
  <c r="C705" i="3"/>
  <c r="D705" i="3"/>
  <c r="C706" i="3"/>
  <c r="D706" i="3"/>
  <c r="C707" i="3"/>
  <c r="D707" i="3"/>
  <c r="C709" i="3"/>
  <c r="D709" i="3"/>
  <c r="D710" i="3"/>
  <c r="D712" i="3"/>
  <c r="C715" i="3"/>
  <c r="D715" i="3"/>
  <c r="C721" i="3"/>
  <c r="D721" i="3"/>
  <c r="C722" i="3"/>
  <c r="D722" i="3"/>
  <c r="C723" i="3"/>
  <c r="D723" i="3"/>
  <c r="C726" i="3"/>
  <c r="D726" i="3"/>
  <c r="C729" i="3"/>
  <c r="D729" i="3"/>
  <c r="C730" i="3"/>
  <c r="D730" i="3"/>
  <c r="C731" i="3"/>
  <c r="D731" i="3"/>
  <c r="C734" i="3"/>
  <c r="D734" i="3"/>
  <c r="C737" i="3"/>
  <c r="D737" i="3"/>
  <c r="C738" i="3"/>
  <c r="D738" i="3"/>
  <c r="C739" i="3"/>
  <c r="D739" i="3"/>
  <c r="C742" i="3"/>
  <c r="D742" i="3"/>
  <c r="C747" i="3"/>
  <c r="D747" i="3"/>
  <c r="C748" i="3"/>
  <c r="D748" i="3"/>
  <c r="C750" i="3"/>
  <c r="C757" i="3"/>
  <c r="D757" i="3"/>
  <c r="C758" i="3"/>
  <c r="D758" i="3"/>
  <c r="C759" i="3"/>
  <c r="D759" i="3"/>
  <c r="C761" i="3"/>
  <c r="D761" i="3"/>
  <c r="C767" i="3"/>
  <c r="D767" i="3"/>
  <c r="C768" i="3"/>
  <c r="D768" i="3"/>
  <c r="C769" i="3"/>
  <c r="D769" i="3"/>
  <c r="C771" i="3"/>
  <c r="D771" i="3"/>
  <c r="C773" i="3"/>
  <c r="D773" i="3"/>
  <c r="M773" i="3"/>
  <c r="D774" i="3"/>
  <c r="C777" i="3"/>
  <c r="D777" i="3"/>
  <c r="C780" i="3"/>
  <c r="D780" i="3"/>
  <c r="C781" i="3"/>
  <c r="D781" i="3"/>
  <c r="C782" i="3"/>
  <c r="D782" i="3"/>
  <c r="C784" i="3"/>
  <c r="D784" i="3"/>
  <c r="C786" i="3"/>
  <c r="D786" i="3"/>
  <c r="M786" i="3"/>
  <c r="D787" i="3"/>
  <c r="C790" i="3"/>
  <c r="D790" i="3"/>
  <c r="C793" i="3"/>
  <c r="D793" i="3"/>
  <c r="C794" i="3"/>
  <c r="D794" i="3"/>
  <c r="C795" i="3"/>
  <c r="D795" i="3"/>
  <c r="C797" i="3"/>
  <c r="D797" i="3"/>
  <c r="C799" i="3"/>
  <c r="D799" i="3"/>
  <c r="C803" i="3"/>
  <c r="D803" i="3"/>
  <c r="C809" i="3"/>
  <c r="D809" i="3"/>
  <c r="C810" i="3"/>
  <c r="D810" i="3"/>
  <c r="C811" i="3"/>
  <c r="D811" i="3"/>
  <c r="C816" i="3"/>
  <c r="D816" i="3"/>
  <c r="C817" i="3"/>
  <c r="D817" i="3"/>
  <c r="C821" i="3"/>
  <c r="D821" i="3"/>
  <c r="C822" i="3"/>
  <c r="D822" i="3"/>
  <c r="C823" i="3"/>
  <c r="D823" i="3"/>
  <c r="C827" i="3"/>
  <c r="D827" i="3"/>
  <c r="C828" i="3"/>
  <c r="D828" i="3"/>
  <c r="C831" i="3"/>
  <c r="D831" i="3"/>
  <c r="C832" i="3"/>
  <c r="D832" i="3"/>
  <c r="C833" i="3"/>
  <c r="D833" i="3"/>
  <c r="C837" i="3"/>
  <c r="D837" i="3"/>
  <c r="C841" i="3"/>
  <c r="D841" i="3"/>
  <c r="C842" i="3"/>
  <c r="D842" i="3"/>
  <c r="D844" i="3"/>
  <c r="C848" i="3"/>
  <c r="D848" i="3"/>
  <c r="C849" i="3"/>
  <c r="D849" i="3"/>
  <c r="C850" i="3"/>
  <c r="D850" i="3"/>
  <c r="C852" i="3"/>
  <c r="D852" i="3"/>
  <c r="C855" i="3"/>
  <c r="D855" i="3"/>
  <c r="C856" i="3"/>
  <c r="D856" i="3"/>
  <c r="C857" i="3"/>
  <c r="D857" i="3"/>
  <c r="C859" i="3"/>
  <c r="D859" i="3"/>
  <c r="C862" i="3"/>
  <c r="D862" i="3"/>
  <c r="C863" i="3"/>
  <c r="D863" i="3"/>
  <c r="C867" i="3"/>
  <c r="D867" i="3"/>
  <c r="C868" i="3"/>
  <c r="D868" i="3"/>
  <c r="C869" i="3"/>
  <c r="D869" i="3"/>
  <c r="C871" i="3"/>
  <c r="D871" i="3"/>
  <c r="P871" i="3"/>
  <c r="Q871" i="3"/>
  <c r="R871" i="3"/>
  <c r="C875" i="3"/>
  <c r="D875" i="3"/>
  <c r="C876" i="3"/>
  <c r="D876" i="3"/>
  <c r="C877" i="3"/>
  <c r="D877" i="3"/>
  <c r="C879" i="3"/>
  <c r="D879" i="3"/>
  <c r="P879" i="3"/>
  <c r="Q879" i="3"/>
  <c r="R879" i="3"/>
  <c r="C882" i="3"/>
  <c r="D882" i="3"/>
  <c r="C883" i="3"/>
  <c r="D883" i="3"/>
  <c r="C888" i="3"/>
  <c r="D888" i="3"/>
  <c r="C889" i="3"/>
  <c r="D889" i="3"/>
  <c r="C890" i="3"/>
  <c r="D890" i="3"/>
  <c r="C892" i="3"/>
  <c r="D892" i="3"/>
  <c r="P892" i="3"/>
  <c r="Q892" i="3"/>
  <c r="R892" i="3"/>
  <c r="C895" i="3"/>
  <c r="D895" i="3"/>
  <c r="C896" i="3"/>
  <c r="D896" i="3"/>
  <c r="C897" i="3"/>
  <c r="D897" i="3"/>
  <c r="C899" i="3"/>
  <c r="D899" i="3"/>
  <c r="P899" i="3"/>
  <c r="Q899" i="3"/>
  <c r="R899" i="3"/>
  <c r="C902" i="3"/>
  <c r="D902" i="3"/>
  <c r="C903" i="3"/>
  <c r="D903" i="3"/>
  <c r="C904" i="3"/>
  <c r="D904" i="3"/>
  <c r="C906" i="3"/>
  <c r="D906" i="3"/>
  <c r="P906" i="3"/>
  <c r="Q906" i="3"/>
  <c r="R906" i="3"/>
  <c r="S906" i="3"/>
  <c r="T906" i="3"/>
  <c r="C911" i="3"/>
  <c r="D911" i="3"/>
  <c r="C912" i="3"/>
  <c r="D912" i="3"/>
  <c r="C913" i="3"/>
  <c r="D913" i="3"/>
  <c r="C915" i="3"/>
  <c r="D915" i="3"/>
  <c r="C918" i="3"/>
  <c r="D918" i="3"/>
  <c r="C919" i="3"/>
  <c r="D919" i="3"/>
  <c r="C920" i="3"/>
  <c r="D920" i="3"/>
  <c r="C922" i="3"/>
  <c r="D922" i="3"/>
  <c r="P922" i="3"/>
  <c r="Q922" i="3"/>
  <c r="C925" i="3"/>
  <c r="D925" i="3"/>
  <c r="C926" i="3"/>
  <c r="D926" i="3"/>
  <c r="C931" i="3"/>
  <c r="D931" i="3"/>
  <c r="C932" i="3"/>
  <c r="D932" i="3"/>
  <c r="C933" i="3"/>
  <c r="D933" i="3"/>
  <c r="C935" i="3"/>
  <c r="D935" i="3"/>
  <c r="C938" i="3"/>
  <c r="D938" i="3"/>
  <c r="C939" i="3"/>
  <c r="D939" i="3"/>
  <c r="C940" i="3"/>
  <c r="D940" i="3"/>
  <c r="C942" i="3"/>
  <c r="D942" i="3"/>
  <c r="P942" i="3"/>
  <c r="Q942" i="3"/>
  <c r="C945" i="3"/>
  <c r="D945" i="3"/>
  <c r="C946" i="3"/>
  <c r="D946" i="3"/>
  <c r="C947" i="3"/>
  <c r="D947" i="3"/>
  <c r="C949" i="3"/>
  <c r="D949" i="3"/>
  <c r="P949" i="3"/>
  <c r="Q949" i="3"/>
  <c r="C952" i="3"/>
  <c r="D952" i="3"/>
  <c r="C953" i="3"/>
  <c r="D953" i="3"/>
</calcChain>
</file>

<file path=xl/comments1.xml><?xml version="1.0" encoding="utf-8"?>
<comments xmlns="http://schemas.openxmlformats.org/spreadsheetml/2006/main">
  <authors>
    <author>Justizbehörde Hamburg</author>
    <author>harderbe</author>
    <author>Pereira da Cunha, Viktoria</author>
    <author>ESARI</author>
    <author>harders</author>
    <author>haase</author>
  </authors>
  <commentList>
    <comment ref="O155" authorId="0">
      <text>
        <r>
          <rPr>
            <b/>
            <sz val="8"/>
            <color indexed="81"/>
            <rFont val="Tahoma"/>
            <family val="2"/>
          </rPr>
          <t>Haase: erhöhte Bestände durch Bestandskorrekturen beim AG Mitte</t>
        </r>
      </text>
    </comment>
    <comment ref="B284" authorId="1">
      <text>
        <r>
          <rPr>
            <b/>
            <sz val="9"/>
            <color indexed="81"/>
            <rFont val="Tahoma"/>
            <family val="2"/>
          </rPr>
          <t>harderbe:</t>
        </r>
        <r>
          <rPr>
            <sz val="9"/>
            <color indexed="81"/>
            <rFont val="Tahoma"/>
            <family val="2"/>
          </rPr>
          <t xml:space="preserve">
Straf+Zivil+Fam
+FGG (aus GÜ)+Buß
</t>
        </r>
      </text>
    </comment>
    <comment ref="W423" authorId="2">
      <text>
        <r>
          <rPr>
            <b/>
            <sz val="9"/>
            <color indexed="81"/>
            <rFont val="Tahoma"/>
            <family val="2"/>
          </rPr>
          <t>Pereira da Cunha, Viktoria:</t>
        </r>
        <r>
          <rPr>
            <sz val="9"/>
            <color indexed="81"/>
            <rFont val="Tahoma"/>
            <family val="2"/>
          </rPr>
          <t xml:space="preserve">
ab 2011: + 571.1 Einstellung wegen Abwesenheit des Beschuldigten oder wegen eines anderen in seiner Person liegenden Hindernisses (§ 154f StPO)</t>
        </r>
      </text>
    </comment>
    <comment ref="S685" authorId="3">
      <text>
        <r>
          <rPr>
            <b/>
            <sz val="8"/>
            <color indexed="81"/>
            <rFont val="Tahoma"/>
            <family val="2"/>
          </rPr>
          <t>ESARI:</t>
        </r>
        <r>
          <rPr>
            <sz val="8"/>
            <color indexed="81"/>
            <rFont val="Tahoma"/>
            <family val="2"/>
          </rPr>
          <t xml:space="preserve">
Diese Daten werden seit 2007 nicht mehr stat. erhoben. Harders, 05.09.08</t>
        </r>
      </text>
    </comment>
    <comment ref="S699" authorId="3">
      <text>
        <r>
          <rPr>
            <b/>
            <sz val="8"/>
            <color indexed="81"/>
            <rFont val="Tahoma"/>
            <family val="2"/>
          </rPr>
          <t>ESARI:</t>
        </r>
        <r>
          <rPr>
            <sz val="8"/>
            <color indexed="81"/>
            <rFont val="Tahoma"/>
            <family val="2"/>
          </rPr>
          <t xml:space="preserve">
Diese Daten werden seit 2007 nicht mehr erhoben.
Harders, 06.05.08</t>
        </r>
      </text>
    </comment>
    <comment ref="S712" authorId="3">
      <text>
        <r>
          <rPr>
            <b/>
            <sz val="8"/>
            <color indexed="81"/>
            <rFont val="Tahoma"/>
            <family val="2"/>
          </rPr>
          <t>ESARI:</t>
        </r>
        <r>
          <rPr>
            <sz val="8"/>
            <color indexed="81"/>
            <rFont val="Tahoma"/>
            <family val="2"/>
          </rPr>
          <t xml:space="preserve">
Diese Daten werden seit 2007 nicht mehr erhoben.
Harders, 06.05.08</t>
        </r>
      </text>
    </comment>
    <comment ref="T771" authorId="1">
      <text>
        <r>
          <rPr>
            <b/>
            <sz val="8"/>
            <color indexed="81"/>
            <rFont val="Tahoma"/>
            <family val="2"/>
          </rPr>
          <t>harderbe:</t>
        </r>
        <r>
          <rPr>
            <sz val="8"/>
            <color indexed="81"/>
            <rFont val="Tahoma"/>
            <family val="2"/>
          </rPr>
          <t xml:space="preserve">
incl. Berufungen in Disz.-Sachen</t>
        </r>
      </text>
    </comment>
    <comment ref="U771" authorId="1">
      <text>
        <r>
          <rPr>
            <b/>
            <sz val="8"/>
            <color indexed="81"/>
            <rFont val="Tahoma"/>
            <family val="2"/>
          </rPr>
          <t>harderbe:</t>
        </r>
        <r>
          <rPr>
            <sz val="8"/>
            <color indexed="81"/>
            <rFont val="Tahoma"/>
            <family val="2"/>
          </rPr>
          <t xml:space="preserve">
incl. Berufungen in Disz.-Sachen</t>
        </r>
      </text>
    </comment>
    <comment ref="T772" authorId="1">
      <text>
        <r>
          <rPr>
            <b/>
            <sz val="8"/>
            <color indexed="81"/>
            <rFont val="Tahoma"/>
            <family val="2"/>
          </rPr>
          <t>harderbe:</t>
        </r>
        <r>
          <rPr>
            <sz val="8"/>
            <color indexed="81"/>
            <rFont val="Tahoma"/>
            <family val="2"/>
          </rPr>
          <t xml:space="preserve">
incl. Antr. Auf Berufungen in Disz.-Sachen</t>
        </r>
      </text>
    </comment>
    <comment ref="U772" authorId="1">
      <text>
        <r>
          <rPr>
            <b/>
            <sz val="8"/>
            <color indexed="81"/>
            <rFont val="Tahoma"/>
            <family val="2"/>
          </rPr>
          <t>harderbe:</t>
        </r>
        <r>
          <rPr>
            <sz val="8"/>
            <color indexed="81"/>
            <rFont val="Tahoma"/>
            <family val="2"/>
          </rPr>
          <t xml:space="preserve">
incl. Antr. Auf Berufungen in Disz.-Sachen</t>
        </r>
      </text>
    </comment>
    <comment ref="S774" authorId="3">
      <text>
        <r>
          <rPr>
            <b/>
            <sz val="8"/>
            <color indexed="81"/>
            <rFont val="Tahoma"/>
            <family val="2"/>
          </rPr>
          <t>ESARI:</t>
        </r>
        <r>
          <rPr>
            <sz val="8"/>
            <color indexed="81"/>
            <rFont val="Tahoma"/>
            <family val="2"/>
          </rPr>
          <t xml:space="preserve">
Diese Daten werden seit 2007 nicht mehr erhoben.
Harders, 06.05.08</t>
        </r>
      </text>
    </comment>
    <comment ref="T784" authorId="1">
      <text>
        <r>
          <rPr>
            <b/>
            <sz val="8"/>
            <color indexed="81"/>
            <rFont val="Tahoma"/>
            <family val="2"/>
          </rPr>
          <t>harderbe:</t>
        </r>
        <r>
          <rPr>
            <sz val="8"/>
            <color indexed="81"/>
            <rFont val="Tahoma"/>
            <family val="2"/>
          </rPr>
          <t xml:space="preserve">
incl. Disz.-Sachen</t>
        </r>
      </text>
    </comment>
    <comment ref="U784" authorId="1">
      <text>
        <r>
          <rPr>
            <b/>
            <sz val="8"/>
            <color indexed="81"/>
            <rFont val="Tahoma"/>
            <family val="2"/>
          </rPr>
          <t>harderbe:</t>
        </r>
        <r>
          <rPr>
            <sz val="8"/>
            <color indexed="81"/>
            <rFont val="Tahoma"/>
            <family val="2"/>
          </rPr>
          <t xml:space="preserve">
incl. Disz.-Sachen</t>
        </r>
      </text>
    </comment>
    <comment ref="T785" authorId="1">
      <text>
        <r>
          <rPr>
            <b/>
            <sz val="8"/>
            <color indexed="81"/>
            <rFont val="Tahoma"/>
            <family val="2"/>
          </rPr>
          <t>harderbe:</t>
        </r>
        <r>
          <rPr>
            <sz val="8"/>
            <color indexed="81"/>
            <rFont val="Tahoma"/>
            <family val="2"/>
          </rPr>
          <t xml:space="preserve">
incl. Disz.-Sachen</t>
        </r>
      </text>
    </comment>
    <comment ref="U785" authorId="1">
      <text>
        <r>
          <rPr>
            <b/>
            <sz val="8"/>
            <color indexed="81"/>
            <rFont val="Tahoma"/>
            <family val="2"/>
          </rPr>
          <t>harderbe:</t>
        </r>
        <r>
          <rPr>
            <sz val="8"/>
            <color indexed="81"/>
            <rFont val="Tahoma"/>
            <family val="2"/>
          </rPr>
          <t xml:space="preserve">
incl. Disz.-Sachen</t>
        </r>
      </text>
    </comment>
    <comment ref="S787" authorId="3">
      <text>
        <r>
          <rPr>
            <b/>
            <sz val="8"/>
            <color indexed="81"/>
            <rFont val="Tahoma"/>
            <family val="2"/>
          </rPr>
          <t>ESARI:</t>
        </r>
        <r>
          <rPr>
            <sz val="8"/>
            <color indexed="81"/>
            <rFont val="Tahoma"/>
            <family val="2"/>
          </rPr>
          <t xml:space="preserve">
Diese Daten werden seit 2007 nicht mehr erhoben.
Harders, 06.05.08</t>
        </r>
      </text>
    </comment>
    <comment ref="S800" authorId="3">
      <text>
        <r>
          <rPr>
            <b/>
            <sz val="8"/>
            <color indexed="81"/>
            <rFont val="Tahoma"/>
            <family val="2"/>
          </rPr>
          <t>ESARI:</t>
        </r>
        <r>
          <rPr>
            <sz val="8"/>
            <color indexed="81"/>
            <rFont val="Tahoma"/>
            <family val="2"/>
          </rPr>
          <t xml:space="preserve">
Diese Daten werden seit 2007 nicht mehr erhoben. Harders, 05.09.08</t>
        </r>
      </text>
    </comment>
    <comment ref="B816" authorId="4">
      <text>
        <r>
          <rPr>
            <b/>
            <sz val="8"/>
            <color indexed="81"/>
            <rFont val="Tahoma"/>
            <family val="2"/>
          </rPr>
          <t>harders:</t>
        </r>
        <r>
          <rPr>
            <sz val="8"/>
            <color indexed="81"/>
            <rFont val="Tahoma"/>
            <family val="2"/>
          </rPr>
          <t xml:space="preserve">
Bis incl. 2006: Tab. V5 Pos.Nr. 85
ab 2007: Tab. VG5D1 Pos. 28 - Verf.Dauer NC.</t>
        </r>
      </text>
    </comment>
    <comment ref="X816" authorId="1">
      <text>
        <r>
          <rPr>
            <b/>
            <sz val="9"/>
            <color indexed="81"/>
            <rFont val="Tahoma"/>
            <family val="2"/>
          </rPr>
          <t>harderbe:</t>
        </r>
        <r>
          <rPr>
            <sz val="9"/>
            <color indexed="81"/>
            <rFont val="Tahoma"/>
            <family val="2"/>
          </rPr>
          <t xml:space="preserve">
Ab 2012: Tab. VG7D1SG Pos. 28</t>
        </r>
      </text>
    </comment>
    <comment ref="B817" authorId="5">
      <text>
        <r>
          <rPr>
            <b/>
            <sz val="8"/>
            <color indexed="81"/>
            <rFont val="Tahoma"/>
            <family val="2"/>
          </rPr>
          <t>harders:</t>
        </r>
        <r>
          <rPr>
            <sz val="8"/>
            <color indexed="81"/>
            <rFont val="Tahoma"/>
            <family val="2"/>
          </rPr>
          <t xml:space="preserve">
Bis incl. 2006: Tabelle V5 Position 103A
Ab 2007: Tab. VG5D1 Pos. 46</t>
        </r>
      </text>
    </comment>
    <comment ref="T842" authorId="1">
      <text>
        <r>
          <rPr>
            <b/>
            <sz val="8"/>
            <color indexed="81"/>
            <rFont val="Tahoma"/>
            <family val="2"/>
          </rPr>
          <t>harderbe:</t>
        </r>
        <r>
          <rPr>
            <sz val="8"/>
            <color indexed="81"/>
            <rFont val="Tahoma"/>
            <family val="2"/>
          </rPr>
          <t xml:space="preserve">
wurde nachträglich geändert, da hier versehentlich ausschließl. die Beschwerden in sonstigen allgem. Sachen eingetragen wurden. Harders, 25.01.2011
</t>
        </r>
      </text>
    </comment>
    <comment ref="V842" authorId="1">
      <text>
        <r>
          <rPr>
            <b/>
            <sz val="8"/>
            <color indexed="81"/>
            <rFont val="Tahoma"/>
            <family val="2"/>
          </rPr>
          <t>harderbe:</t>
        </r>
        <r>
          <rPr>
            <sz val="8"/>
            <color indexed="81"/>
            <rFont val="Tahoma"/>
            <family val="2"/>
          </rPr>
          <t xml:space="preserve">
Tab. 5D1SG, Pos. Nr. 82+84+85
</t>
        </r>
      </text>
    </comment>
    <comment ref="V844" authorId="1">
      <text>
        <r>
          <rPr>
            <b/>
            <sz val="8"/>
            <color indexed="81"/>
            <rFont val="Tahoma"/>
            <family val="2"/>
          </rPr>
          <t>harderbe:</t>
        </r>
        <r>
          <rPr>
            <sz val="8"/>
            <color indexed="81"/>
            <rFont val="Tahoma"/>
            <family val="2"/>
          </rPr>
          <t xml:space="preserve">
Tab. 5D1SG, Pos. Nr. 83
</t>
        </r>
      </text>
    </comment>
    <comment ref="S882" authorId="3">
      <text>
        <r>
          <rPr>
            <b/>
            <sz val="8"/>
            <color indexed="81"/>
            <rFont val="Tahoma"/>
            <family val="2"/>
          </rPr>
          <t>ESARI:</t>
        </r>
        <r>
          <rPr>
            <sz val="8"/>
            <color indexed="81"/>
            <rFont val="Tahoma"/>
            <family val="2"/>
          </rPr>
          <t xml:space="preserve">
Diese Daten werden seit 2007 nicht mehr erhoben. Harders, 05.09.08</t>
        </r>
      </text>
    </comment>
    <comment ref="T902" authorId="1">
      <text>
        <r>
          <rPr>
            <b/>
            <sz val="8"/>
            <color indexed="81"/>
            <rFont val="Tahoma"/>
            <family val="2"/>
          </rPr>
          <t>harderbe:</t>
        </r>
        <r>
          <rPr>
            <sz val="8"/>
            <color indexed="81"/>
            <rFont val="Tahoma"/>
            <family val="2"/>
          </rPr>
          <t xml:space="preserve">
Fundstelle: Monatsmeldungen des LArbG</t>
        </r>
      </text>
    </comment>
    <comment ref="U902" authorId="1">
      <text>
        <r>
          <rPr>
            <b/>
            <sz val="8"/>
            <color indexed="81"/>
            <rFont val="Tahoma"/>
            <family val="2"/>
          </rPr>
          <t>harderbe:</t>
        </r>
        <r>
          <rPr>
            <sz val="8"/>
            <color indexed="81"/>
            <rFont val="Tahoma"/>
            <family val="2"/>
          </rPr>
          <t xml:space="preserve">
Fundstelle: Tab. 3.2 der StaLA-Daten.</t>
        </r>
      </text>
    </comment>
    <comment ref="B944" authorId="1">
      <text>
        <r>
          <rPr>
            <b/>
            <sz val="9"/>
            <color indexed="81"/>
            <rFont val="Tahoma"/>
            <family val="2"/>
          </rPr>
          <t>harderbe:</t>
        </r>
        <r>
          <rPr>
            <sz val="9"/>
            <color indexed="81"/>
            <rFont val="Tahoma"/>
            <family val="2"/>
          </rPr>
          <t xml:space="preserve">
Nur ER-Beschwerden</t>
        </r>
      </text>
    </comment>
  </commentList>
</comments>
</file>

<file path=xl/sharedStrings.xml><?xml version="1.0" encoding="utf-8"?>
<sst xmlns="http://schemas.openxmlformats.org/spreadsheetml/2006/main" count="1856" uniqueCount="737">
  <si>
    <t xml:space="preserve">                                             I. Amtsgerichte</t>
  </si>
  <si>
    <t xml:space="preserve">                                             A. Zivilsachen</t>
  </si>
  <si>
    <t>I.</t>
  </si>
  <si>
    <t>Bürgerliche Rechtsstreitigkeiten</t>
  </si>
  <si>
    <t>1.</t>
  </si>
  <si>
    <t>1.1</t>
  </si>
  <si>
    <r>
      <t>Neuzugänge</t>
    </r>
    <r>
      <rPr>
        <vertAlign val="superscript"/>
        <sz val="8"/>
        <rFont val="Arial"/>
        <family val="2"/>
      </rPr>
      <t xml:space="preserve"> 1)</t>
    </r>
  </si>
  <si>
    <t>2)</t>
  </si>
  <si>
    <t>1.2</t>
  </si>
  <si>
    <r>
      <t xml:space="preserve">Erledigte Verfahren </t>
    </r>
    <r>
      <rPr>
        <vertAlign val="superscript"/>
        <sz val="8"/>
        <rFont val="Arial"/>
        <family val="2"/>
      </rPr>
      <t>1)</t>
    </r>
  </si>
  <si>
    <t>1.3</t>
  </si>
  <si>
    <t xml:space="preserve">Unerledigte Verfahren am Jahresende </t>
  </si>
  <si>
    <t>1.4</t>
  </si>
  <si>
    <t>Unter den erledigten Verfahren waren</t>
  </si>
  <si>
    <t>1.4.1</t>
  </si>
  <si>
    <t xml:space="preserve">Prozeßkostenhilfeverfahren </t>
  </si>
  <si>
    <t xml:space="preserve">   Das Sta-</t>
  </si>
  <si>
    <t>1.4.2</t>
  </si>
  <si>
    <t>Kindschaftssachen nach § 640 ZPO</t>
  </si>
  <si>
    <t xml:space="preserve">   tistische</t>
  </si>
  <si>
    <t>1.4.3</t>
  </si>
  <si>
    <t>Urkunden-, Wechsel-oder Scheckprozesse</t>
  </si>
  <si>
    <t xml:space="preserve">   Landes-</t>
  </si>
  <si>
    <t>1.4.4</t>
  </si>
  <si>
    <t>Arreste oder einstweilige Verfügungen</t>
  </si>
  <si>
    <t xml:space="preserve">   amt hat</t>
  </si>
  <si>
    <t>1.4.5</t>
  </si>
  <si>
    <t>Entmündigungssachen</t>
  </si>
  <si>
    <t xml:space="preserve">   entschieden,</t>
  </si>
  <si>
    <t>1.4.6</t>
  </si>
  <si>
    <t>Aufgebotsverfahren</t>
  </si>
  <si>
    <t xml:space="preserve">   die bundes-</t>
  </si>
  <si>
    <t>1.4.7</t>
  </si>
  <si>
    <t>Klagen in Zwangsvollstreckungssachen</t>
  </si>
  <si>
    <t xml:space="preserve">    einheitliche</t>
  </si>
  <si>
    <t>1.4.8</t>
  </si>
  <si>
    <t>Gewöhnliche Prozesse über</t>
  </si>
  <si>
    <t xml:space="preserve">    Statistik</t>
  </si>
  <si>
    <t>1.4.8.1</t>
  </si>
  <si>
    <t>Wohnungsmietrecht (Wohnungsmietsachen)</t>
  </si>
  <si>
    <t>in Zivilsa-</t>
  </si>
  <si>
    <t>1.4.8.2</t>
  </si>
  <si>
    <t>Unterhaltsrecht</t>
  </si>
  <si>
    <t xml:space="preserve">    chen für</t>
  </si>
  <si>
    <t>1.4.8.3</t>
  </si>
  <si>
    <t>Verkehrsunfallrecht</t>
  </si>
  <si>
    <t>1.4.8.4</t>
  </si>
  <si>
    <t>Bau-/Architektenrecht</t>
  </si>
  <si>
    <t xml:space="preserve">     nicht aus-</t>
  </si>
  <si>
    <t>1.4.8.5</t>
  </si>
  <si>
    <t>Kaufrecht</t>
  </si>
  <si>
    <t>zuwerten</t>
  </si>
  <si>
    <t>1.4.9</t>
  </si>
  <si>
    <t>Sonstige gewöhnliche Prozesse/</t>
  </si>
  <si>
    <t>sonstiger Verfahrensgegenstand</t>
  </si>
  <si>
    <t>1.5</t>
  </si>
  <si>
    <t xml:space="preserve">Durchschnittliche Dauer der Verfahren </t>
  </si>
  <si>
    <t>-in Monaten-</t>
  </si>
  <si>
    <t>1.6</t>
  </si>
  <si>
    <t>2.</t>
  </si>
  <si>
    <t>2.1</t>
  </si>
  <si>
    <r>
      <t xml:space="preserve">Neuzugänge </t>
    </r>
    <r>
      <rPr>
        <vertAlign val="superscript"/>
        <sz val="8"/>
        <rFont val="Arial"/>
        <family val="2"/>
      </rPr>
      <t>1)</t>
    </r>
  </si>
  <si>
    <t>2.2</t>
  </si>
  <si>
    <t>2.3</t>
  </si>
  <si>
    <t>Unerledigte Verfahren am Jahresende</t>
  </si>
  <si>
    <t>2.4</t>
  </si>
  <si>
    <t>2.4.1</t>
  </si>
  <si>
    <t>2.4.2</t>
  </si>
  <si>
    <t>2.4.3</t>
  </si>
  <si>
    <t>2.4.4</t>
  </si>
  <si>
    <t>2.4.5</t>
  </si>
  <si>
    <t>Prozeßkostenhilfeverfahren</t>
  </si>
  <si>
    <t>2.5</t>
  </si>
  <si>
    <t>Unter den Scheidungsverfahren waren nur mit</t>
  </si>
  <si>
    <t>2.6</t>
  </si>
  <si>
    <t>Durchschnittliche Dauer der Eheverfahren</t>
  </si>
  <si>
    <t>2.7</t>
  </si>
  <si>
    <t>2.8</t>
  </si>
  <si>
    <t>Anträge außerhalb eines anhängigen Verfahrens in Familien-</t>
  </si>
  <si>
    <t>sachen (FH-Sachen)</t>
  </si>
  <si>
    <t>3.</t>
  </si>
  <si>
    <t>Mahnsachen</t>
  </si>
  <si>
    <t>4.</t>
  </si>
  <si>
    <t xml:space="preserve">Vollstreckungssachen </t>
  </si>
  <si>
    <t>4.1</t>
  </si>
  <si>
    <t>4.2</t>
  </si>
  <si>
    <t>4.3</t>
  </si>
  <si>
    <t>4.4</t>
  </si>
  <si>
    <t>5.</t>
  </si>
  <si>
    <t>II.</t>
  </si>
  <si>
    <t>Angelegenheiten der freiwilligen Gerichtsbarkeit</t>
  </si>
  <si>
    <t>Beurkundungen</t>
  </si>
  <si>
    <t>Standesamtssachen</t>
  </si>
  <si>
    <t>Anträge auf Todeserklärung und Feststellung der Todeszeit</t>
  </si>
  <si>
    <t>Angelegenheiten des Vormundschaftsgerichts</t>
  </si>
  <si>
    <t>Es blieben am Jahresende insgesamt anhängig</t>
  </si>
  <si>
    <t>davon</t>
  </si>
  <si>
    <t>4.1.1</t>
  </si>
  <si>
    <t xml:space="preserve">      -</t>
  </si>
  <si>
    <t>4.1.2</t>
  </si>
  <si>
    <t>4.1.3</t>
  </si>
  <si>
    <t>Im laufenden Jahr wurden anhängig</t>
  </si>
  <si>
    <t>4.2.1</t>
  </si>
  <si>
    <t>4.2.2</t>
  </si>
  <si>
    <t>4.2.3</t>
  </si>
  <si>
    <t>4.2.4</t>
  </si>
  <si>
    <t>Unterbringung auf Grund des Bundesgesetzes über das</t>
  </si>
  <si>
    <t>gerichtliche Verfahren bei Freiheitsentziehungssachen</t>
  </si>
  <si>
    <t>6.</t>
  </si>
  <si>
    <t>6.1</t>
  </si>
  <si>
    <t>Eingetragene Vereine</t>
  </si>
  <si>
    <t>6.2</t>
  </si>
  <si>
    <t>6.3</t>
  </si>
  <si>
    <t>6.4</t>
  </si>
  <si>
    <t>6.5</t>
  </si>
  <si>
    <t>6.6</t>
  </si>
  <si>
    <t>6.7</t>
  </si>
  <si>
    <t>Eingetragene Genossenschaften</t>
  </si>
  <si>
    <t>Seeschiffe</t>
  </si>
  <si>
    <t>Binnenschiffe</t>
  </si>
  <si>
    <t>Schiffsbauwerke</t>
  </si>
  <si>
    <t>III.</t>
  </si>
  <si>
    <t>Landwirtschaftssachen</t>
  </si>
  <si>
    <t xml:space="preserve">IV. </t>
  </si>
  <si>
    <t>Rechtshilfesachen</t>
  </si>
  <si>
    <t>Ersuchen an das Amtsgericht -Zivilsachen</t>
  </si>
  <si>
    <t>und Sachen der freiwilligen Gerichtsbarkeit-</t>
  </si>
  <si>
    <t>Davon fielen in die Zuständigkeit</t>
  </si>
  <si>
    <t>des Richters</t>
  </si>
  <si>
    <t>des Rechtspflegers</t>
  </si>
  <si>
    <t>Ersuchen an die Geschäftsstelle</t>
  </si>
  <si>
    <t>Hinterlegungssachen</t>
  </si>
  <si>
    <t>Strafverfahren</t>
  </si>
  <si>
    <t>4.5</t>
  </si>
  <si>
    <t>4.6</t>
  </si>
  <si>
    <t>4.7</t>
  </si>
  <si>
    <t>4.8</t>
  </si>
  <si>
    <t xml:space="preserve">      Ä</t>
  </si>
  <si>
    <t>4.9</t>
  </si>
  <si>
    <t>in Strafsa-</t>
  </si>
  <si>
    <t>4.10</t>
  </si>
  <si>
    <t>Hauptverhandlungen insgesamt</t>
  </si>
  <si>
    <t>Hauptverhandlungstage insgesamt</t>
  </si>
  <si>
    <t>7.</t>
  </si>
  <si>
    <t>Durchschnittliche Dauer der Verfahren</t>
  </si>
  <si>
    <t>Bußgeldverfahren</t>
  </si>
  <si>
    <t>Die Verfahren wurden erledigt durch</t>
  </si>
  <si>
    <t xml:space="preserve">  in Bußgeld-</t>
  </si>
  <si>
    <t xml:space="preserve">    sachen für</t>
  </si>
  <si>
    <t>Verfahren mit Hauptverhandlung</t>
  </si>
  <si>
    <t xml:space="preserve">   sachen</t>
  </si>
  <si>
    <t>Rechtshilfeersuchen an das Amtsgericht (Strafsachen)</t>
  </si>
  <si>
    <t>Erzwingungshaftanträge</t>
  </si>
  <si>
    <t>Anträge auf gerichtliche Entscheidung nach § 25 a Abs.3 StVG,</t>
  </si>
  <si>
    <t>§ 62 Abs.1 Satz 1 OWiG (Halterhaftung)</t>
  </si>
  <si>
    <t>Sonstige Rechtsbehelfe gegen Maßnahmen der Verwaltungsbehörden</t>
  </si>
  <si>
    <t>nach § 62 Abs.1 Satz 1 OWiG</t>
  </si>
  <si>
    <t>Sonstige Anträge und Entscheidungen nach dem OWiG</t>
  </si>
  <si>
    <t>Rechtshilfeersuchen an das Amtsgericht (Bußgeldverfahren)</t>
  </si>
  <si>
    <t xml:space="preserve">                                              II. Landgericht</t>
  </si>
  <si>
    <t xml:space="preserve">                                               A. Zivilsachen</t>
  </si>
  <si>
    <t>Urkunden-,Wechsel- oder Scheckprozesse</t>
  </si>
  <si>
    <t xml:space="preserve">   ent -</t>
  </si>
  <si>
    <t>Baulandsachen</t>
  </si>
  <si>
    <t xml:space="preserve">   schieden,</t>
  </si>
  <si>
    <t>Entschädigungs-/Rückerstattungssachen</t>
  </si>
  <si>
    <t xml:space="preserve">   die bun-</t>
  </si>
  <si>
    <t xml:space="preserve">   desein -</t>
  </si>
  <si>
    <t>4.7.1</t>
  </si>
  <si>
    <t xml:space="preserve">   heitliche</t>
  </si>
  <si>
    <t>4.7.2</t>
  </si>
  <si>
    <t xml:space="preserve">   Statistik</t>
  </si>
  <si>
    <t>4.7.3</t>
  </si>
  <si>
    <t xml:space="preserve">   für 1994</t>
  </si>
  <si>
    <t>Sonstige gewöhnliche Prozesse/sonstiger Verfahrensgegenstand</t>
  </si>
  <si>
    <t xml:space="preserve">   nicht</t>
  </si>
  <si>
    <t xml:space="preserve">   auszu-</t>
  </si>
  <si>
    <t xml:space="preserve">   werten</t>
  </si>
  <si>
    <t>4.5.1</t>
  </si>
  <si>
    <t>4.5.2</t>
  </si>
  <si>
    <t>4.5.3</t>
  </si>
  <si>
    <t>4.5.4</t>
  </si>
  <si>
    <t>4.5.5</t>
  </si>
  <si>
    <t>Beschwerdeverfahren</t>
  </si>
  <si>
    <t xml:space="preserve">                                             B. Strafsachen</t>
  </si>
  <si>
    <t xml:space="preserve">      - </t>
  </si>
  <si>
    <t xml:space="preserve">                              III. Staatsanwaltschaft bei dem Landgericht</t>
  </si>
  <si>
    <r>
      <t xml:space="preserve">Erledigte Ermittlungsverfahren </t>
    </r>
    <r>
      <rPr>
        <vertAlign val="superscript"/>
        <sz val="8"/>
        <rFont val="Arial"/>
        <family val="2"/>
      </rPr>
      <t>1)</t>
    </r>
  </si>
  <si>
    <t>1.4.1.1</t>
  </si>
  <si>
    <t>1.4.1.2</t>
  </si>
  <si>
    <t>1.4.1.3</t>
  </si>
  <si>
    <t>Erledigung durch Tod</t>
  </si>
  <si>
    <t>1.4.10</t>
  </si>
  <si>
    <t>1.4.11</t>
  </si>
  <si>
    <t>1.4.12</t>
  </si>
  <si>
    <t>1.4.13</t>
  </si>
  <si>
    <t>1.4.14</t>
  </si>
  <si>
    <t>1.4.15</t>
  </si>
  <si>
    <t>Verfahren nach dem Ordnungswidrigkeitengesetz</t>
  </si>
  <si>
    <t>Sonstige Tätigkeit der Staatsanwaltschaft</t>
  </si>
  <si>
    <t>Entschädigung nach dem StREG</t>
  </si>
  <si>
    <t>Für den Sitzungsdienst und eigene Ermittlungstätigkeit</t>
  </si>
  <si>
    <t>aufgewandte Gesamtstundenzahl</t>
  </si>
  <si>
    <t>eingeleitet wurde</t>
  </si>
  <si>
    <t>Dauer der erledigten Ermittlungsverfahren -in % -</t>
  </si>
  <si>
    <t>7.1</t>
  </si>
  <si>
    <t>bis einschließlich 1 Monat</t>
  </si>
  <si>
    <t>7.2</t>
  </si>
  <si>
    <t>7.3</t>
  </si>
  <si>
    <t>7.4</t>
  </si>
  <si>
    <t>7.5</t>
  </si>
  <si>
    <t xml:space="preserve">                                      IV. Hanseatisches Oberlandesgericht</t>
  </si>
  <si>
    <t xml:space="preserve">                                                 A. Zivilsachen</t>
  </si>
  <si>
    <t>4.8.1</t>
  </si>
  <si>
    <t>4.8.2</t>
  </si>
  <si>
    <t>4.8.3</t>
  </si>
  <si>
    <t>A.</t>
  </si>
  <si>
    <t>Die erledigten Verfahren betrafen</t>
  </si>
  <si>
    <t>4.2.</t>
  </si>
  <si>
    <t xml:space="preserve">Einsprüche in Bußgeldverfahren nach dem Gesetz gegen </t>
  </si>
  <si>
    <t>Wettbewerbsbeschränkungen</t>
  </si>
  <si>
    <t>Die erledigten Verfahren wurden beendet durch</t>
  </si>
  <si>
    <t>Revisionen</t>
  </si>
  <si>
    <t>Haftprüfungsverfahren</t>
  </si>
  <si>
    <t>Aus- und Durchlieferungssachen</t>
  </si>
  <si>
    <t>2.9</t>
  </si>
  <si>
    <t>Rechtssachen (Vertretung des Fiskus)</t>
  </si>
  <si>
    <t>2.10</t>
  </si>
  <si>
    <t>2.11</t>
  </si>
  <si>
    <t>Rechtshilfeangelegenheiten mit dem Ausland</t>
  </si>
  <si>
    <t>2.12</t>
  </si>
  <si>
    <t xml:space="preserve">                               VI. Verwaltungsgericht</t>
  </si>
  <si>
    <t>Klagen</t>
  </si>
  <si>
    <t>Sonstige Anträge (ohne Nr.4.3)</t>
  </si>
  <si>
    <t>Anträge auf Prozeßkostenhilfe für eine Klage oder einen</t>
  </si>
  <si>
    <t>sonstigen Antrag</t>
  </si>
  <si>
    <t xml:space="preserve">-in Monaten-    </t>
  </si>
  <si>
    <t>Allgemeine Verfahren</t>
  </si>
  <si>
    <t>Asyl-Verfahren</t>
  </si>
  <si>
    <t>IV.</t>
  </si>
  <si>
    <t>Sonstige Verfahren vor dem Verwaltungsgericht</t>
  </si>
  <si>
    <t>Anträge auf Gewährung von vorläufigem Rechtsschutz</t>
  </si>
  <si>
    <t>in Numerus-Clausus-Sachen</t>
  </si>
  <si>
    <t>Vollstreckungsverfahren</t>
  </si>
  <si>
    <t>Sonstige Anträge außerhalb eines bei Gericht anhängigen</t>
  </si>
  <si>
    <t>Verfahrens</t>
  </si>
  <si>
    <t xml:space="preserve">                                VII. Hamburgisches Oberverwaltungsgericht</t>
  </si>
  <si>
    <t>Hauptverfahren</t>
  </si>
  <si>
    <t>Erstinstanzliche Hauptverfahren</t>
  </si>
  <si>
    <t>Berufungen, Beschwerden gegen Hauptsacheentscheidungen in Perso-</t>
  </si>
  <si>
    <t>nalvertretungssachen und Beschwerden in Disziplinarverfahren</t>
  </si>
  <si>
    <t>Verfahren -insgesamt-</t>
  </si>
  <si>
    <t>Berufungen</t>
  </si>
  <si>
    <t>Beschwerden</t>
  </si>
  <si>
    <t>Anträge auf Prozeßkostenhilfe</t>
  </si>
  <si>
    <t>3.1</t>
  </si>
  <si>
    <t>3.2</t>
  </si>
  <si>
    <t>3.3</t>
  </si>
  <si>
    <t>3.4</t>
  </si>
  <si>
    <t>3.4.1</t>
  </si>
  <si>
    <t>3.4.2</t>
  </si>
  <si>
    <t>3.4.3</t>
  </si>
  <si>
    <t>3.5</t>
  </si>
  <si>
    <t>B.</t>
  </si>
  <si>
    <t>Beschwerden gegen Entscheidungen/Verfahren zur Gewährung von</t>
  </si>
  <si>
    <t>a) Beschwerden</t>
  </si>
  <si>
    <t>b) Anträge auf Gewährung von vorläufigem Rechtsschutz</t>
  </si>
  <si>
    <t xml:space="preserve">Asyl-Verfahren </t>
  </si>
  <si>
    <t>C.</t>
  </si>
  <si>
    <t xml:space="preserve">Sonstige Verfahren vor dem Hamburgischen Oberverwaltungsgericht </t>
  </si>
  <si>
    <t>Sonstige Beschwerden</t>
  </si>
  <si>
    <t xml:space="preserve">Sonstige Anträge außerhalb eines bei Gericht anhängigen </t>
  </si>
  <si>
    <t xml:space="preserve">                                            VIII. Finanzgericht</t>
  </si>
  <si>
    <t>Verfahren zur Gewährung von vorläufigem Rechtsschutz</t>
  </si>
  <si>
    <t>Sonstige Verfahren</t>
  </si>
  <si>
    <t>Kostensachen</t>
  </si>
  <si>
    <t>Sonstige selbständige Verfahren</t>
  </si>
  <si>
    <t>Das</t>
  </si>
  <si>
    <t>Statistische</t>
  </si>
  <si>
    <t>Landesamt</t>
  </si>
  <si>
    <t xml:space="preserve">hat </t>
  </si>
  <si>
    <t>entschieden,</t>
  </si>
  <si>
    <t>die</t>
  </si>
  <si>
    <t>bundes-</t>
  </si>
  <si>
    <t>einheitliche</t>
  </si>
  <si>
    <t>Statistik</t>
  </si>
  <si>
    <t xml:space="preserve">für die </t>
  </si>
  <si>
    <t>schaften</t>
  </si>
  <si>
    <t xml:space="preserve">für 1998 </t>
  </si>
  <si>
    <t>Staatsan-</t>
  </si>
  <si>
    <t>walt-</t>
  </si>
  <si>
    <t>nicht aus--</t>
  </si>
  <si>
    <t>zu-</t>
  </si>
  <si>
    <t>werten</t>
  </si>
  <si>
    <t>Anträge auf Zulassung der Berufung</t>
  </si>
  <si>
    <t>3.4.4</t>
  </si>
  <si>
    <t xml:space="preserve">                                       Bekanntmachungen </t>
  </si>
  <si>
    <t>entf.</t>
  </si>
  <si>
    <t>k.A.</t>
  </si>
  <si>
    <t>Anträge auf</t>
  </si>
  <si>
    <t>Insolvenzverfahren</t>
  </si>
  <si>
    <t xml:space="preserve">Eröffnete </t>
  </si>
  <si>
    <t>für das</t>
  </si>
  <si>
    <t>Landgericht</t>
  </si>
  <si>
    <t>für 2000</t>
  </si>
  <si>
    <t>nicht</t>
  </si>
  <si>
    <r>
      <t>Abhilfeverfahren gem. § 321 ZPO (</t>
    </r>
    <r>
      <rPr>
        <b/>
        <sz val="8"/>
        <rFont val="Arial"/>
        <family val="2"/>
      </rPr>
      <t>ab 2002</t>
    </r>
    <r>
      <rPr>
        <sz val="8"/>
        <rFont val="Arial"/>
        <family val="2"/>
      </rPr>
      <t>)</t>
    </r>
  </si>
  <si>
    <t>Begründung und Veränderung von Eigentum und Erbbaurecht</t>
  </si>
  <si>
    <t xml:space="preserve">Begründung, Aufteilung und Veränderung von Wohnungs- </t>
  </si>
  <si>
    <t>und Teileigentum</t>
  </si>
  <si>
    <t xml:space="preserve">                                            IX. Arbeitsgericht</t>
  </si>
  <si>
    <t>Beschlussverfahren</t>
  </si>
  <si>
    <t>Sonstige Verfahren (Arreste und Einstweilige Verfügungen)</t>
  </si>
  <si>
    <t xml:space="preserve">                                            X. Landesarbeitsgericht</t>
  </si>
  <si>
    <t>Beschwerdeverfahren in Beschlusssachen</t>
  </si>
  <si>
    <t>Beschwerden nach §§ 78, 83 V ArbGG</t>
  </si>
  <si>
    <t xml:space="preserve">                                            XI. Sozialgericht</t>
  </si>
  <si>
    <t>Anträge auf Einstweiligen Rechtsschutz</t>
  </si>
  <si>
    <t xml:space="preserve">                                            XII. Landessozialgericht</t>
  </si>
  <si>
    <t>(neu ab 2003)</t>
  </si>
  <si>
    <t>Entschädigungs-/ Rückerstattungssachen</t>
  </si>
  <si>
    <t>Klageverfahren</t>
  </si>
  <si>
    <t>Entschädigungs- und Rückerstattungssachen</t>
  </si>
  <si>
    <t>Verfahren über Arrest oder einstweilige Verfügung</t>
  </si>
  <si>
    <t>sonstige zur Zuständigkeit des Prozessgerichts gehörende Verfahren</t>
  </si>
  <si>
    <t xml:space="preserve">Neuzugänge </t>
  </si>
  <si>
    <t xml:space="preserve">Erledigte Verfahren </t>
  </si>
  <si>
    <r>
      <t>1)</t>
    </r>
    <r>
      <rPr>
        <sz val="8"/>
        <rFont val="Arial"/>
        <family val="2"/>
      </rPr>
      <t xml:space="preserve"> Abzüglich Abgaben innerhalb des Gerichts/der Staatsanwaltschaft</t>
    </r>
  </si>
  <si>
    <t>davon:</t>
  </si>
  <si>
    <t>entfallen</t>
  </si>
  <si>
    <t>Numerus -Clausus-Sachen</t>
  </si>
  <si>
    <t>2.4.6</t>
  </si>
  <si>
    <t>2.4.7</t>
  </si>
  <si>
    <t>5.1</t>
  </si>
  <si>
    <t>5.2</t>
  </si>
  <si>
    <t>4.1.</t>
  </si>
  <si>
    <t xml:space="preserve">I. </t>
  </si>
  <si>
    <t xml:space="preserve">II. </t>
  </si>
  <si>
    <t xml:space="preserve">III. </t>
  </si>
  <si>
    <t xml:space="preserve">B. </t>
  </si>
  <si>
    <t xml:space="preserve">I.   </t>
  </si>
  <si>
    <t xml:space="preserve">II.  </t>
  </si>
  <si>
    <t>Rechtsbeschwerden in Bußgeldverfahren</t>
  </si>
  <si>
    <t>Sonstiger Geschäftsanfall</t>
  </si>
  <si>
    <t xml:space="preserve">1. </t>
  </si>
  <si>
    <t xml:space="preserve">2. </t>
  </si>
  <si>
    <t>Sonstiger Geschäftsanfall der Generalstaatsanwaltschaft</t>
  </si>
  <si>
    <t xml:space="preserve">                 V. Generalstaatsanwaltschaft </t>
  </si>
  <si>
    <t xml:space="preserve">A. </t>
  </si>
  <si>
    <t>Hauptverfahren insgesamt</t>
  </si>
  <si>
    <t>Hauptverfahren -Asyl-Verfahren-</t>
  </si>
  <si>
    <t>und sonstige Verfahren</t>
  </si>
  <si>
    <t xml:space="preserve">  </t>
  </si>
  <si>
    <r>
      <t xml:space="preserve">2) </t>
    </r>
    <r>
      <rPr>
        <sz val="8"/>
        <rFont val="Arial"/>
        <family val="2"/>
      </rPr>
      <t>Die Eingangs-, Erledigungs- und Bestandszahlen der StA mussten im Jahr 2005 aufgrund eines Datenbankfehlers nachträglich korrigiert werden.</t>
    </r>
  </si>
  <si>
    <t>auszuwerten</t>
  </si>
  <si>
    <t>Erledigte Verfahren</t>
  </si>
  <si>
    <r>
      <t xml:space="preserve">36 </t>
    </r>
    <r>
      <rPr>
        <vertAlign val="superscript"/>
        <sz val="8"/>
        <rFont val="Arial"/>
        <family val="2"/>
      </rPr>
      <t>3)</t>
    </r>
  </si>
  <si>
    <r>
      <t xml:space="preserve">19 </t>
    </r>
    <r>
      <rPr>
        <vertAlign val="superscript"/>
        <sz val="8"/>
        <rFont val="Arial"/>
        <family val="2"/>
      </rPr>
      <t>3)</t>
    </r>
  </si>
  <si>
    <r>
      <t xml:space="preserve">18 </t>
    </r>
    <r>
      <rPr>
        <vertAlign val="superscript"/>
        <sz val="8"/>
        <rFont val="Arial"/>
        <family val="2"/>
      </rPr>
      <t>3)</t>
    </r>
  </si>
  <si>
    <r>
      <t xml:space="preserve">552 </t>
    </r>
    <r>
      <rPr>
        <vertAlign val="superscript"/>
        <sz val="8"/>
        <rFont val="Arial"/>
        <family val="2"/>
      </rPr>
      <t>3)</t>
    </r>
  </si>
  <si>
    <r>
      <t xml:space="preserve">529 </t>
    </r>
    <r>
      <rPr>
        <vertAlign val="superscript"/>
        <sz val="8"/>
        <rFont val="Arial"/>
        <family val="2"/>
      </rPr>
      <t>3)</t>
    </r>
  </si>
  <si>
    <r>
      <t xml:space="preserve">238 </t>
    </r>
    <r>
      <rPr>
        <vertAlign val="superscript"/>
        <sz val="8"/>
        <rFont val="Arial"/>
        <family val="2"/>
      </rPr>
      <t>3)</t>
    </r>
  </si>
  <si>
    <t>Grundbuchsachen</t>
  </si>
  <si>
    <t>Eingereichte Urkunden betreffend</t>
  </si>
  <si>
    <t>Anträge außerhalb eines anhängigen Verfahrens (H)</t>
  </si>
  <si>
    <t>Eintragung/Veränderung/Löschung von Rechten in Abt. II und III</t>
  </si>
  <si>
    <t>Eingetragene Partnerschaftsgesellschaften</t>
  </si>
  <si>
    <t>Registersachen (Eintragungen am Jahresschluss)</t>
  </si>
  <si>
    <t xml:space="preserve">In das Handelsregister eingetragene </t>
  </si>
  <si>
    <t>6.3.1</t>
  </si>
  <si>
    <t>6.3.2</t>
  </si>
  <si>
    <t>6.3.3</t>
  </si>
  <si>
    <t>6.3.4</t>
  </si>
  <si>
    <t>6.3.5</t>
  </si>
  <si>
    <r>
      <t xml:space="preserve">4) </t>
    </r>
    <r>
      <rPr>
        <sz val="8"/>
        <rFont val="Arial"/>
        <family val="2"/>
      </rPr>
      <t>Bestandsbereinigung</t>
    </r>
  </si>
  <si>
    <r>
      <t>409</t>
    </r>
    <r>
      <rPr>
        <vertAlign val="superscript"/>
        <sz val="8"/>
        <rFont val="Arial"/>
        <family val="2"/>
      </rPr>
      <t>4)</t>
    </r>
  </si>
  <si>
    <r>
      <t>21172</t>
    </r>
    <r>
      <rPr>
        <vertAlign val="superscript"/>
        <sz val="8"/>
        <rFont val="Arial"/>
        <family val="2"/>
      </rPr>
      <t>4)</t>
    </r>
  </si>
  <si>
    <r>
      <t>8</t>
    </r>
    <r>
      <rPr>
        <vertAlign val="superscript"/>
        <sz val="8"/>
        <rFont val="Arial"/>
        <family val="2"/>
      </rPr>
      <t>4)</t>
    </r>
  </si>
  <si>
    <r>
      <t>7</t>
    </r>
    <r>
      <rPr>
        <vertAlign val="superscript"/>
        <sz val="8"/>
        <rFont val="Arial"/>
        <family val="2"/>
      </rPr>
      <t>4)</t>
    </r>
  </si>
  <si>
    <t xml:space="preserve">   Betreuungen </t>
  </si>
  <si>
    <t xml:space="preserve">  Betreuungen</t>
  </si>
  <si>
    <t xml:space="preserve">  Verfahren auf vormundschaftliche Genehmigung zur Unterbringung</t>
  </si>
  <si>
    <t xml:space="preserve">  oder Anordnung der Unterbringung nach § 70 Abs. 1 Satz 2 Nr. 1 </t>
  </si>
  <si>
    <t xml:space="preserve">  Buchstaben a, b und Nr. 3 FGG sowie § 1846 BGB</t>
  </si>
  <si>
    <t xml:space="preserve">  Andere vormundschaftsgerichtliche Angelegenheiten</t>
  </si>
  <si>
    <t xml:space="preserve">  Adoptionssachen</t>
  </si>
  <si>
    <t xml:space="preserve">  Scheidungsverfahren</t>
  </si>
  <si>
    <t xml:space="preserve">  andere Eheverfahren</t>
  </si>
  <si>
    <t xml:space="preserve">  Verfahren über abgetrennte Scheidungsfolgesachen</t>
  </si>
  <si>
    <t xml:space="preserve">  Verfahren über allein anhängige andere Familiensachen   </t>
  </si>
  <si>
    <t xml:space="preserve">  Prozesskostenhilfeverfahren</t>
  </si>
  <si>
    <t xml:space="preserve">  Verfahren zur Aufhebung der Lebenspartnerschaft - ab 2006</t>
  </si>
  <si>
    <t xml:space="preserve">  sonstige Verfahren nach dem Lebenspartnergesetz - ab 2006</t>
  </si>
  <si>
    <t xml:space="preserve">  Verfahren nach dem Gewaltschutzgesetz - ab 2006</t>
  </si>
  <si>
    <t xml:space="preserve">  Abhilfeverfahren gemäß § 321 A ZPO</t>
  </si>
  <si>
    <t xml:space="preserve">  Klagen in Zwangsvollstreckungssachen, Anträge auf  
  Vollstreckbarerklärung eines ausländischen Urteils auf Grund eines
  Vollstreckungsvertrages</t>
  </si>
  <si>
    <t xml:space="preserve">  Verfahren über Arrest und einstweilige Verfügung</t>
  </si>
  <si>
    <t xml:space="preserve">  Einzelhandelskaufleute, juristische Personen, </t>
  </si>
  <si>
    <t xml:space="preserve">  offene Handelsgesellschaften und Kommanditgesellschaften</t>
  </si>
  <si>
    <t xml:space="preserve">  Aktiengesellschaften</t>
  </si>
  <si>
    <t xml:space="preserve">  Kommanditgesellschaften auf Aktien</t>
  </si>
  <si>
    <t xml:space="preserve">  Gesellschaften mit beschränkter Haftung</t>
  </si>
  <si>
    <t xml:space="preserve">  Versicherungsvereine auf Gegenseitigkeit</t>
  </si>
  <si>
    <t xml:space="preserve">                               C. Rechtshilfeersuchen</t>
  </si>
  <si>
    <t xml:space="preserve">  Zuständigkeit des Richters</t>
  </si>
  <si>
    <t xml:space="preserve">  Zuständigkeit des Rechtspflegers</t>
  </si>
  <si>
    <t>Sonstiger Geschäftsanfall in Straf- und Bußgeldsachen</t>
  </si>
  <si>
    <t>Verteilungsverfahren (J)</t>
  </si>
  <si>
    <t>Zwangsversteigerungen von unbeweglichen Gegenständen (K)</t>
  </si>
  <si>
    <t>Zwangsverwaltungen (L)</t>
  </si>
  <si>
    <t xml:space="preserve">Sonstige zur Zuständigkeit des Vollstreckungsgerichts </t>
  </si>
  <si>
    <t>gehörige Vollstreckungssachen (M)</t>
  </si>
  <si>
    <t>nach § 408 a StPO)</t>
  </si>
  <si>
    <t xml:space="preserve">Testaments- und Nachlasssachen </t>
  </si>
  <si>
    <t>Sonstige Nachlasssachen (VI)</t>
  </si>
  <si>
    <t xml:space="preserve">Klagen in Zwangsvollstreckungssachen, Anträge auf  </t>
  </si>
  <si>
    <t>Vollstreckbarerklärung eines ausländischen Urteils auf Grund eines</t>
  </si>
  <si>
    <t>Vollstreckungsvertrages</t>
  </si>
  <si>
    <t>Einzelne richterliche Anordnungen (GS)</t>
  </si>
  <si>
    <t>Vollstreckungen in Jugendgerichtssachen (VRJs)</t>
  </si>
  <si>
    <t xml:space="preserve">Standesamtssachen, Todeserklärungen, </t>
  </si>
  <si>
    <t>sonstige Angelegenheiten</t>
  </si>
  <si>
    <t>Ermittlungsverfahren (Js)</t>
  </si>
  <si>
    <t xml:space="preserve">  Anklage</t>
  </si>
  <si>
    <t xml:space="preserve">  davon vor</t>
  </si>
  <si>
    <t xml:space="preserve">  Einstellung ohne Auflage</t>
  </si>
  <si>
    <t xml:space="preserve">     dem Schwurgericht, der großen Strafkammer, der Jugendkammer</t>
  </si>
  <si>
    <t xml:space="preserve">     dem Schöffengericht, dem Jugendschöffengericht</t>
  </si>
  <si>
    <t xml:space="preserve">     dem Strafrichter, dem Jugendstrafrichter</t>
  </si>
  <si>
    <t xml:space="preserve">  Zurückweisung oder Einstellung gem.§ 170 Abs.2 StPO</t>
  </si>
  <si>
    <t xml:space="preserve">  Verweisung auf den Weg der Privatklage</t>
  </si>
  <si>
    <t xml:space="preserve">  Abgabe an die Verwaltungsbehörde als Ordnungwidrigkeit</t>
  </si>
  <si>
    <t xml:space="preserve">  Abgabe an eine andere Staatsanwaltschaft</t>
  </si>
  <si>
    <t xml:space="preserve">  Andere Art der Erledigung</t>
  </si>
  <si>
    <t>Anträge auf Haftentscheidungen nach §§ 121 ff StPO, Anträge</t>
  </si>
  <si>
    <t>auf gerichtliche Entscheidung nach § 172 StPO (einschließlich</t>
  </si>
  <si>
    <t>Beschwerden in Strafsachen (einschließlich Kostenbeschwerden)</t>
  </si>
  <si>
    <t xml:space="preserve">Beschwerden in Bußgeldverfahren (einschließlich </t>
  </si>
  <si>
    <t>Kostenbeschwerden)</t>
  </si>
  <si>
    <r>
      <t xml:space="preserve">Zivilprozesssachen </t>
    </r>
    <r>
      <rPr>
        <sz val="8"/>
        <rFont val="Arial"/>
        <family val="2"/>
      </rPr>
      <t>(C)</t>
    </r>
  </si>
  <si>
    <t xml:space="preserve">  Anklagen</t>
  </si>
  <si>
    <t xml:space="preserve">  Beschleunigte Verfahren nach § 417 StPO</t>
  </si>
  <si>
    <t xml:space="preserve">  Vereinfachte Jugendverfahren (§ 76 JGG)</t>
  </si>
  <si>
    <t xml:space="preserve">  Hauptverhandlungen nach § 408 Abs. 3 StPO</t>
  </si>
  <si>
    <t xml:space="preserve">  Privatklagen</t>
  </si>
  <si>
    <t xml:space="preserve">  Eröffnung des Hauptverfahrens durch ein Gericht höherer Ordnung</t>
  </si>
  <si>
    <t xml:space="preserve">  Sicherungsverfahren (§ 413 StPO, §§ 39, 40 JGG)</t>
  </si>
  <si>
    <t xml:space="preserve">  Urteil</t>
  </si>
  <si>
    <t xml:space="preserve">  Beschluss nach § 72 OWiG</t>
  </si>
  <si>
    <t xml:space="preserve">  Beschluss nach § 70 Abs.1 OWiG</t>
  </si>
  <si>
    <t xml:space="preserve">  Einstellung nach § 47 Abs.2 Satz 1 OWiG</t>
  </si>
  <si>
    <t xml:space="preserve">  Einstellung gem. §§ 205 Satz 1, 206a Abs.1 StPO, 46 Abs.1 OWiG</t>
  </si>
  <si>
    <t xml:space="preserve">  Zurücknahme der Klage durch die Staatsanwaltschaft gem.§ 411 </t>
  </si>
  <si>
    <t xml:space="preserve">  Abs.3 StPO, § 71 Abs.1 OWiG</t>
  </si>
  <si>
    <t xml:space="preserve">  Zurücknahme des Einspruchs</t>
  </si>
  <si>
    <t xml:space="preserve">  Sonstige Erledigungsart</t>
  </si>
  <si>
    <t>Von den erledigten Verfahren waren</t>
  </si>
  <si>
    <t xml:space="preserve">  Einsprüche gegen beantragte Strafbefehle</t>
  </si>
  <si>
    <t xml:space="preserve">  Anträge auf Einleitung eines Objektiven Verfahrens (§§ 440, </t>
  </si>
  <si>
    <t xml:space="preserve">  444 Abs. 3 StPO)</t>
  </si>
  <si>
    <t xml:space="preserve">  Nachverfahren (§ 439 StPO)</t>
  </si>
  <si>
    <t xml:space="preserve">  Einstellung wegen Schuldunfähigkeit (§ 20 StGB)</t>
  </si>
  <si>
    <t>1.4.7.1</t>
  </si>
  <si>
    <t xml:space="preserve">    darunter nach § 153a Abs. 1 - 4 StPO</t>
  </si>
  <si>
    <t>Die Ermittlungsverfahren wurden erledigt durch</t>
  </si>
  <si>
    <t xml:space="preserve">  Antrag auf Eröffnung eines Sicherungsverfahrens</t>
  </si>
  <si>
    <t xml:space="preserve">  Antrag auf Durchführung eines objektiven Verfahrens</t>
  </si>
  <si>
    <t xml:space="preserve">  Antrag auf Entscheidung im beschleunigten Verfahren (§ 417 StPO)</t>
  </si>
  <si>
    <t xml:space="preserve">  Antrag auf vereinfachtes Jugendverfahren (§ 76 JGG)</t>
  </si>
  <si>
    <t xml:space="preserve">  Antrag auf Erlass eines Strafbefehls</t>
  </si>
  <si>
    <t xml:space="preserve">  Einstellung mit Auflage</t>
  </si>
  <si>
    <t xml:space="preserve">  Verbindung mit einer anderen Sache</t>
  </si>
  <si>
    <t xml:space="preserve">  sonstige (vorläufige) Einstellung</t>
  </si>
  <si>
    <t>1.4.16</t>
  </si>
  <si>
    <t>4.11</t>
  </si>
  <si>
    <t>4.12</t>
  </si>
  <si>
    <t>4.13</t>
  </si>
  <si>
    <t>4.14</t>
  </si>
  <si>
    <t xml:space="preserve"> </t>
  </si>
  <si>
    <t xml:space="preserve">  Eröffnung durch ein Gericht höherer Ordnung</t>
  </si>
  <si>
    <t xml:space="preserve">  Anträge auf Wiederaufnahme nach Rechtskraft</t>
  </si>
  <si>
    <t xml:space="preserve">  Zurückweisung durch die Rechtsmittelinstanz</t>
  </si>
  <si>
    <t xml:space="preserve">  In ein Strafverfahren übergegangenes Bußgeldverfahren</t>
  </si>
  <si>
    <t xml:space="preserve">  Vorlage/Verweisung durch ein Gericht niederer Ordnung</t>
  </si>
  <si>
    <t xml:space="preserve">Anträge auf Erlass von Strafbefehlen (ohne Strafbefehle </t>
  </si>
  <si>
    <t>Anzeigen gegen unbekannte Täter (UJs)</t>
  </si>
  <si>
    <t>mehr als 1 Monat bis einschließlich 3 Monate</t>
  </si>
  <si>
    <t>mehr als 3 Monat bis einschließlich 6 Monate</t>
  </si>
  <si>
    <t>mehr als 6 Monate bis einschließlich 12 Monate</t>
  </si>
  <si>
    <t xml:space="preserve">  Offizialverfahren</t>
  </si>
  <si>
    <t xml:space="preserve">  Annahmeberufung im Offizialverfahren</t>
  </si>
  <si>
    <t xml:space="preserve">  Privatklageverfahren</t>
  </si>
  <si>
    <t xml:space="preserve">  Anträge auf Wiederaufnahme der Verfahren</t>
  </si>
  <si>
    <t xml:space="preserve">  Durch die Rechtsmittelinstanz zurückverwiesene Verfahren</t>
  </si>
  <si>
    <t xml:space="preserve">  Anträge auf Einleitung eines Sicherungsverfahrens (§ 413 StPO, </t>
  </si>
  <si>
    <t xml:space="preserve">  § 41 JGG)</t>
  </si>
  <si>
    <t xml:space="preserve">  Zurückverweisung durch die Rechtsmittelinstanz</t>
  </si>
  <si>
    <t xml:space="preserve">  Klagen in Zwangsvollstreckungssachen, Anträge auf  </t>
  </si>
  <si>
    <t xml:space="preserve">  Vollstreckbarerklärung eines ausländischen Urteils auf Grund eines</t>
  </si>
  <si>
    <t xml:space="preserve">  Vollstreckungsvertrages</t>
  </si>
  <si>
    <t xml:space="preserve">  Verfahren über Arrest oder einstweilige Verfügung</t>
  </si>
  <si>
    <t xml:space="preserve">  Berufungsverfahren</t>
  </si>
  <si>
    <t xml:space="preserve">  sonstige zur Zuständigkeit des Berufungsgerichts gehörige Verfahren</t>
  </si>
  <si>
    <t>Insgesamt</t>
  </si>
  <si>
    <t xml:space="preserve">  Beschwerden in Landwirtschaftssachen, Verfahren nach</t>
  </si>
  <si>
    <t xml:space="preserve">  § 23 EGGVG, Beschwerden in Angelegenheiten der freiwilligen</t>
  </si>
  <si>
    <t xml:space="preserve">  Gerichtsbarkeit einschließlich der Kostensachen auf diesem</t>
  </si>
  <si>
    <t xml:space="preserve">  Gebiet und der Beschwerden nach § 156 KostO</t>
  </si>
  <si>
    <t>Zivilprozesssachen in erster Instanz (O)</t>
  </si>
  <si>
    <t>Zivilprozesssachen in der Berufungsinstanz (S)</t>
  </si>
  <si>
    <t>Abhilfeverfahren gemäß § 321a ZPO</t>
  </si>
  <si>
    <t xml:space="preserve">                               B. Straf- und Bußgeldsachen </t>
  </si>
  <si>
    <t>Strafsachen</t>
  </si>
  <si>
    <t>Bußgeldsachen</t>
  </si>
  <si>
    <t>Beschwerden (einschließlich Kostenbeschwerden)</t>
  </si>
  <si>
    <t>Strafverfahren in erster Instanz</t>
  </si>
  <si>
    <t>Strafverfahren in der Berufungsinstanz</t>
  </si>
  <si>
    <t>Strafverfahren in der Revisionsinstanz</t>
  </si>
  <si>
    <t>Zivilprozesssachen in der Berufungsinstanz (U)</t>
  </si>
  <si>
    <t xml:space="preserve">  Verfahren über Arrest oder einstw. Verfügung</t>
  </si>
  <si>
    <t xml:space="preserve">  gehörende Verfahren</t>
  </si>
  <si>
    <t xml:space="preserve">  Sonstige zur Zuständigkeit des Berufungsgerichts</t>
  </si>
  <si>
    <t xml:space="preserve">  Sonstige Beschwerden</t>
  </si>
  <si>
    <t>4.2 (alt)</t>
  </si>
  <si>
    <t>4.3 (alt)</t>
  </si>
  <si>
    <t>4.4 (alt)</t>
  </si>
  <si>
    <t xml:space="preserve">  Scheidungsverfahren (ohne Ziffer 4.3 alt)</t>
  </si>
  <si>
    <t xml:space="preserve">  Verfahren über abgetrennte Scheidungsfolgesachen und</t>
  </si>
  <si>
    <t xml:space="preserve">  allein anhängige andere Familiensachen</t>
  </si>
  <si>
    <t xml:space="preserve">  Scheidungsverfahren mit Anfechtung des die Scheidung </t>
  </si>
  <si>
    <t xml:space="preserve">  Scheidungsverfahren ohne Anfechtung des die Scheidung</t>
  </si>
  <si>
    <t xml:space="preserve">  aussprechenden oder ablehnenden Urteils  - ab 2006</t>
  </si>
  <si>
    <t xml:space="preserve">  andere Eheverfahren mit Anfechtung des Urteils </t>
  </si>
  <si>
    <t xml:space="preserve">   in der Ehesache - ab 2006</t>
  </si>
  <si>
    <t xml:space="preserve">  andere Eheverfahren ohne Anfechtung des Urteils</t>
  </si>
  <si>
    <t xml:space="preserve">  in der Ehesache - ab 2006</t>
  </si>
  <si>
    <t xml:space="preserve">  Verfahren über abgetrennte Scheidungsfolgesachen - ab 2006</t>
  </si>
  <si>
    <t xml:space="preserve">  Verfahren über allein anhängige andere Familiensachen - ab 2006</t>
  </si>
  <si>
    <t xml:space="preserve">  Verfahren zur Aufhebung der Lebenspartnerschaft mit Anfechtung </t>
  </si>
  <si>
    <t xml:space="preserve">  des die Aufhebung aussprechenden oder ablehnenden Urteils - ab 2006</t>
  </si>
  <si>
    <t xml:space="preserve">  Verfahren zur Aufhebung der Lebenspartnerschaft ohne Anfechtung</t>
  </si>
  <si>
    <t xml:space="preserve">  sonstige Verfahren nach dem Lebenspartnerschaftsgesetz - ab 2006</t>
  </si>
  <si>
    <t>Beschwerdeverfahren in Zivilsachen</t>
  </si>
  <si>
    <t>Familiensachen in der Rechtsmittelinstanz (UF)</t>
  </si>
  <si>
    <t>Sonstiger Geschäftsanfall in Familiensachen</t>
  </si>
  <si>
    <t>Sonstige Beschwerden insgesamt</t>
  </si>
  <si>
    <t xml:space="preserve">    elterliche Sorge</t>
  </si>
  <si>
    <t xml:space="preserve">    Herausgabe eines Kindes</t>
  </si>
  <si>
    <t xml:space="preserve">    Ehewohnung</t>
  </si>
  <si>
    <t xml:space="preserve">  Aussetzung des Scheidungsverfahrens</t>
  </si>
  <si>
    <t xml:space="preserve">  Wert des Verfahrensgegenstandes</t>
  </si>
  <si>
    <t xml:space="preserve">  Kostenangelegenheiten</t>
  </si>
  <si>
    <t xml:space="preserve">  sonstige Angelegenheiten</t>
  </si>
  <si>
    <t>1.2.1</t>
  </si>
  <si>
    <t>1.2.2</t>
  </si>
  <si>
    <t>1.2.3</t>
  </si>
  <si>
    <t>Anträge außerhalb eines anhängigen Verfahren (UFH) - ab 2006</t>
  </si>
  <si>
    <t>5.1.1</t>
  </si>
  <si>
    <t>5.1.2</t>
  </si>
  <si>
    <t>5.1.3</t>
  </si>
  <si>
    <t xml:space="preserve">  Insolvenzverfahren (IN)</t>
  </si>
  <si>
    <t xml:space="preserve">  Verbraucher- und Kleininsolvenzen (IK)</t>
  </si>
  <si>
    <t>5.2.1</t>
  </si>
  <si>
    <t>5.2.2</t>
  </si>
  <si>
    <t>5.2.3</t>
  </si>
  <si>
    <t>Zivilsachen (Hs)</t>
  </si>
  <si>
    <t xml:space="preserve">  Rechtsbeschwerde gegen ein Urteil</t>
  </si>
  <si>
    <t xml:space="preserve">  Rechtsbeschwerde gegen einen Beschluss nach § 72 OWiG</t>
  </si>
  <si>
    <t xml:space="preserve">  Antrag auf Zulassung der Rechtsbeschwerde nach § 80 Abs.1 OWiG</t>
  </si>
  <si>
    <t>Rechtsbeschwerden nach §§ 116,117,138 Abs. 3 StVollzG</t>
  </si>
  <si>
    <t>Ermittlungsverfahren (OJs)</t>
  </si>
  <si>
    <t xml:space="preserve">  Anklage vor dem Oberlandesgericht</t>
  </si>
  <si>
    <t xml:space="preserve">  Einstellung mit Auflagen</t>
  </si>
  <si>
    <t xml:space="preserve">  Einstellung ohne Auflagen</t>
  </si>
  <si>
    <t xml:space="preserve">  auf sonstige Weise</t>
  </si>
  <si>
    <t>Rechtsbeschwerden (§ 79 Abs. 1 Satz 1 OWiG)</t>
  </si>
  <si>
    <t>Anträge auf Zulassung der Rechtsbeschwerde (§ 79 Abs. 1 Satz 2,</t>
  </si>
  <si>
    <t xml:space="preserve"> § 80 OWiG)</t>
  </si>
  <si>
    <t xml:space="preserve">  Beschwerden (Ws)</t>
  </si>
  <si>
    <t xml:space="preserve">  Beschwerden (Zs)</t>
  </si>
  <si>
    <t>Berufsgerichtliche Verfahren (z.B. Verfahren nach der BRAO,</t>
  </si>
  <si>
    <t>Entscheidungen in Vorverfahren und sonstige Verfahren</t>
  </si>
  <si>
    <t>Entschädigungssachen nach dem StrEG</t>
  </si>
  <si>
    <t>gemäß § 23 ff EGGVG</t>
  </si>
  <si>
    <t>Kartellbußgeldsachen</t>
  </si>
  <si>
    <t>Sonstige Handlungen und Entscheidungen der freiwilligen Gerichtsbarkeit</t>
  </si>
  <si>
    <t xml:space="preserve">außerhalb eines anhängigen Verfahrens </t>
  </si>
  <si>
    <t>Zur Verwahrung übergebene oder abgelieferte oder zur Aufbewahrung</t>
  </si>
  <si>
    <t>übersandte Verfügungen von Todes wegen (IV)</t>
  </si>
  <si>
    <t xml:space="preserve">  Vorlage / Verweisung durch ein Gericht niederer Ordnung</t>
  </si>
  <si>
    <t>4.1 (alt)</t>
  </si>
  <si>
    <t>Prozesskostenhilfeantrag), Auslieferungsverfahren, Verfahren nach</t>
  </si>
  <si>
    <t>§ 23 EGGVG und Anträge nach § 51 RVG</t>
  </si>
  <si>
    <t>Zahl der Personen, gegen die eine Vollstreckung</t>
  </si>
  <si>
    <t>vorläufigem Rechtsschutz (ohne NC-Verf. u. ohne sonst. Verf.)</t>
  </si>
  <si>
    <t xml:space="preserve">                Übersicht über den Geschäftsanfall der Gerichte und Staatsanwaltschaften</t>
  </si>
  <si>
    <r>
      <t xml:space="preserve">74 </t>
    </r>
    <r>
      <rPr>
        <vertAlign val="superscript"/>
        <sz val="8"/>
        <rFont val="Arial"/>
        <family val="2"/>
      </rPr>
      <t>3)</t>
    </r>
  </si>
  <si>
    <r>
      <t xml:space="preserve">79 </t>
    </r>
    <r>
      <rPr>
        <vertAlign val="superscript"/>
        <sz val="8"/>
        <rFont val="Arial"/>
        <family val="2"/>
      </rPr>
      <t>3)</t>
    </r>
  </si>
  <si>
    <r>
      <t xml:space="preserve">11 </t>
    </r>
    <r>
      <rPr>
        <vertAlign val="superscript"/>
        <sz val="8"/>
        <rFont val="Arial"/>
        <family val="2"/>
      </rPr>
      <t>3)</t>
    </r>
  </si>
  <si>
    <r>
      <t xml:space="preserve">210 </t>
    </r>
    <r>
      <rPr>
        <vertAlign val="superscript"/>
        <sz val="8"/>
        <rFont val="Arial"/>
        <family val="2"/>
      </rPr>
      <t>3)</t>
    </r>
  </si>
  <si>
    <r>
      <t xml:space="preserve">1.193 </t>
    </r>
    <r>
      <rPr>
        <vertAlign val="superscript"/>
        <sz val="8"/>
        <rFont val="Arial"/>
        <family val="2"/>
      </rPr>
      <t>3)</t>
    </r>
  </si>
  <si>
    <r>
      <t xml:space="preserve">1.221 </t>
    </r>
    <r>
      <rPr>
        <vertAlign val="superscript"/>
        <sz val="8"/>
        <rFont val="Arial"/>
        <family val="2"/>
      </rPr>
      <t>3)</t>
    </r>
  </si>
  <si>
    <t>Durchschnittliche Dauer der Verfahren über allein anhängige</t>
  </si>
  <si>
    <t xml:space="preserve">andere Familiensachen </t>
  </si>
  <si>
    <t xml:space="preserve">  aussprechenden oder ablehnenden Urteils - ab 2006</t>
  </si>
  <si>
    <r>
      <t>25</t>
    </r>
    <r>
      <rPr>
        <vertAlign val="superscript"/>
        <sz val="8"/>
        <rFont val="Arial"/>
        <family val="2"/>
      </rPr>
      <t xml:space="preserve"> 4)</t>
    </r>
  </si>
  <si>
    <t>6.3.1 (alt)</t>
  </si>
  <si>
    <t>6.3.6</t>
  </si>
  <si>
    <t>6.3.7</t>
  </si>
  <si>
    <t>6.3.8</t>
  </si>
  <si>
    <t>6.3.9</t>
  </si>
  <si>
    <t>6.3.10</t>
  </si>
  <si>
    <t>6.3.11</t>
  </si>
  <si>
    <t>6.3.12</t>
  </si>
  <si>
    <r>
      <t xml:space="preserve">Verfahren  -insgesamt- </t>
    </r>
    <r>
      <rPr>
        <b/>
        <vertAlign val="superscript"/>
        <sz val="8"/>
        <rFont val="Arial"/>
        <family val="2"/>
      </rPr>
      <t>5)</t>
    </r>
  </si>
  <si>
    <r>
      <t xml:space="preserve">5) </t>
    </r>
    <r>
      <rPr>
        <sz val="8"/>
        <rFont val="Arial"/>
        <family val="2"/>
      </rPr>
      <t>Ab 2007 incl. NC-Verfahren</t>
    </r>
  </si>
  <si>
    <t xml:space="preserve"> Hauptverfahren -Allgemeine Verfahren- (incl. NC-Verfahren)</t>
  </si>
  <si>
    <r>
      <t xml:space="preserve">Anträge auf Bewilligung von Prozesskostenhilfe </t>
    </r>
    <r>
      <rPr>
        <b/>
        <vertAlign val="superscript"/>
        <sz val="8"/>
        <rFont val="Arial"/>
        <family val="2"/>
      </rPr>
      <t>6)</t>
    </r>
  </si>
  <si>
    <r>
      <t xml:space="preserve">3) </t>
    </r>
    <r>
      <rPr>
        <sz val="8"/>
        <rFont val="Arial"/>
        <family val="2"/>
      </rPr>
      <t>Durch Einführung der Zählkartenanordnung ab 2007 werden die Anträge auf Einstweiligen Rechtsschutz und die Beschwerden anders erfasst.</t>
    </r>
  </si>
  <si>
    <r>
      <t>8.992</t>
    </r>
    <r>
      <rPr>
        <vertAlign val="superscript"/>
        <sz val="8"/>
        <rFont val="Arial"/>
        <family val="2"/>
      </rPr>
      <t>4)</t>
    </r>
  </si>
  <si>
    <r>
      <t>1.041</t>
    </r>
    <r>
      <rPr>
        <vertAlign val="superscript"/>
        <sz val="8"/>
        <rFont val="Arial"/>
        <family val="2"/>
      </rPr>
      <t>4)</t>
    </r>
  </si>
  <si>
    <r>
      <t>40.168</t>
    </r>
    <r>
      <rPr>
        <vertAlign val="superscript"/>
        <sz val="8"/>
        <rFont val="Arial"/>
        <family val="2"/>
      </rPr>
      <t>4)</t>
    </r>
  </si>
  <si>
    <r>
      <t xml:space="preserve">6) </t>
    </r>
    <r>
      <rPr>
        <sz val="8"/>
        <rFont val="Arial"/>
        <family val="2"/>
      </rPr>
      <t>Durch Einführung der Zählkartenanordnung ab 2007 werden die Daten in dieser Form nicht mehr erfasst.</t>
    </r>
  </si>
  <si>
    <t>der BNotO und und dem Steuerberatungsgesetz)</t>
  </si>
  <si>
    <t>Hamburg</t>
  </si>
  <si>
    <t>Mecklenburg-Vorpommern</t>
  </si>
  <si>
    <t>Allgemeine Verfahren (ohne NC)</t>
  </si>
  <si>
    <t>2.1.1</t>
  </si>
  <si>
    <t>2.1.2</t>
  </si>
  <si>
    <r>
      <t xml:space="preserve">  Erledigte Verfahren </t>
    </r>
    <r>
      <rPr>
        <vertAlign val="superscript"/>
        <sz val="8"/>
        <rFont val="Arial"/>
        <family val="2"/>
      </rPr>
      <t>1)</t>
    </r>
  </si>
  <si>
    <t>2.1.3</t>
  </si>
  <si>
    <t xml:space="preserve">  Unerledigte Verfahren am Jahresende</t>
  </si>
  <si>
    <r>
      <t xml:space="preserve">  Neuzugänge </t>
    </r>
    <r>
      <rPr>
        <vertAlign val="superscript"/>
        <sz val="8"/>
        <rFont val="Arial"/>
        <family val="2"/>
      </rPr>
      <t>1)</t>
    </r>
  </si>
  <si>
    <t>Ergebnis bis 31.08.2009</t>
  </si>
  <si>
    <t>2.2.1</t>
  </si>
  <si>
    <t>2.2.2</t>
  </si>
  <si>
    <t>2.2.3</t>
  </si>
  <si>
    <t xml:space="preserve">  Unerledigte Verfahren am Ende des Berichtszeitraums 31.08.2009</t>
  </si>
  <si>
    <t>Ergebnis ab 01.09.2009</t>
  </si>
  <si>
    <t>2.3.1</t>
  </si>
  <si>
    <t>2.3.2</t>
  </si>
  <si>
    <t>2.3.3</t>
  </si>
  <si>
    <t>Von den erledigten Verfahren waren ab 01.09.2009</t>
  </si>
  <si>
    <t>2.8.1</t>
  </si>
  <si>
    <t xml:space="preserve">  Familiensachen</t>
  </si>
  <si>
    <t>2.8.2</t>
  </si>
  <si>
    <t xml:space="preserve">  abgetrennte Folgesache(n)</t>
  </si>
  <si>
    <t>2.8.3</t>
  </si>
  <si>
    <t xml:space="preserve">  einstweilige Anordnungen</t>
  </si>
  <si>
    <t>2.8.4</t>
  </si>
  <si>
    <t xml:space="preserve">  Abhilfeverfahren</t>
  </si>
  <si>
    <t>2.8.5</t>
  </si>
  <si>
    <t xml:space="preserve">  Lebenspartnerschaften</t>
  </si>
  <si>
    <t>Durchschnittliche Dauer der erledigten Familiensachen</t>
  </si>
  <si>
    <t>-in Monaten- ab 01.09.2009</t>
  </si>
  <si>
    <t xml:space="preserve">  Verfahren über den Bestand einer Lebenspartnerschaft - ab 2008</t>
  </si>
  <si>
    <t>Jahresergebnis</t>
  </si>
  <si>
    <t>Unerledigte Verfahren am Ende des Berichtszeitraums</t>
  </si>
  <si>
    <t>Unerledigte Vrefahen am Jahresende</t>
  </si>
  <si>
    <t>Familiensachen</t>
  </si>
  <si>
    <t>Abhilfeverfahren</t>
  </si>
  <si>
    <t>5.3</t>
  </si>
  <si>
    <t>Lebenspartnerschaftssachen</t>
  </si>
  <si>
    <t>5.4</t>
  </si>
  <si>
    <t>1.2.4</t>
  </si>
  <si>
    <t>1.2.5</t>
  </si>
  <si>
    <t xml:space="preserve">  über</t>
  </si>
  <si>
    <r>
      <t xml:space="preserve">7) </t>
    </r>
    <r>
      <rPr>
        <sz val="8"/>
        <rFont val="Arial"/>
        <family val="2"/>
      </rPr>
      <t>Auf Grund einer veränderten Berechnung wurden die Daten für die Jahre 2007 und 2008 korrigiert.</t>
    </r>
  </si>
  <si>
    <r>
      <t>Durchschnittliche Dauer der Verfahren</t>
    </r>
    <r>
      <rPr>
        <vertAlign val="superscript"/>
        <sz val="8"/>
        <rFont val="Arial"/>
        <family val="2"/>
      </rPr>
      <t xml:space="preserve"> 7)</t>
    </r>
  </si>
  <si>
    <t>Versorgungsausgleich anhängig ab 01.09.2009</t>
  </si>
  <si>
    <r>
      <t>315</t>
    </r>
    <r>
      <rPr>
        <vertAlign val="superscript"/>
        <sz val="8"/>
        <rFont val="Arial"/>
        <family val="2"/>
      </rPr>
      <t xml:space="preserve"> 9)</t>
    </r>
  </si>
  <si>
    <r>
      <t xml:space="preserve">9) </t>
    </r>
    <r>
      <rPr>
        <sz val="8"/>
        <rFont val="Arial"/>
        <family val="2"/>
      </rPr>
      <t>Ab 2009 ausschließlich Beschwerden im einstweiligen Rechtsschutz</t>
    </r>
  </si>
  <si>
    <r>
      <t xml:space="preserve">Familiensachen </t>
    </r>
    <r>
      <rPr>
        <sz val="8"/>
        <rFont val="Arial"/>
        <family val="2"/>
      </rPr>
      <t xml:space="preserve">(F) </t>
    </r>
    <r>
      <rPr>
        <vertAlign val="superscript"/>
        <sz val="8"/>
        <rFont val="Arial"/>
        <family val="2"/>
      </rPr>
      <t>7)</t>
    </r>
  </si>
  <si>
    <r>
      <t xml:space="preserve">Jahresergebnis </t>
    </r>
    <r>
      <rPr>
        <vertAlign val="superscript"/>
        <sz val="8"/>
        <rFont val="Arial"/>
        <family val="2"/>
      </rPr>
      <t>1)</t>
    </r>
  </si>
  <si>
    <r>
      <t xml:space="preserve">  Neuzugänge bis 31.08.2009 </t>
    </r>
    <r>
      <rPr>
        <vertAlign val="superscript"/>
        <sz val="8"/>
        <rFont val="Arial"/>
        <family val="2"/>
      </rPr>
      <t>1)</t>
    </r>
  </si>
  <si>
    <r>
      <t xml:space="preserve">  Erledigte Verfahren bis 31.08.2009 </t>
    </r>
    <r>
      <rPr>
        <vertAlign val="superscript"/>
        <sz val="8"/>
        <rFont val="Arial"/>
        <family val="2"/>
      </rPr>
      <t>1)</t>
    </r>
  </si>
  <si>
    <r>
      <t xml:space="preserve">  Neuzugänge ab 01.09.2009 </t>
    </r>
    <r>
      <rPr>
        <vertAlign val="superscript"/>
        <sz val="8"/>
        <rFont val="Arial"/>
        <family val="2"/>
      </rPr>
      <t>1)</t>
    </r>
  </si>
  <si>
    <r>
      <t xml:space="preserve">  Erledigte Verfahren ab 01.09.2009 </t>
    </r>
    <r>
      <rPr>
        <vertAlign val="superscript"/>
        <sz val="8"/>
        <rFont val="Arial"/>
        <family val="2"/>
      </rPr>
      <t>1)</t>
    </r>
  </si>
  <si>
    <t>Von den erledigten Verfahren waren bis 31.08.2009</t>
  </si>
  <si>
    <t>Versorgungsausgleich anhängig bis 31.08.2009</t>
  </si>
  <si>
    <t>-in Monaten- (2.4.1 und 2.4.2) bis 31.08.2009</t>
  </si>
  <si>
    <t>-in Monaten- (2.4.4) bis 31.08.2009</t>
  </si>
  <si>
    <t xml:space="preserve">  Prozesskostenhilfe (ab 01.09.2009 Verfahrenskostenhilfe)</t>
  </si>
  <si>
    <t xml:space="preserve">  Einstweilige Anordnung (§ 620 c ZPO bzw. § 57 FamFG ab 01.09.2009)</t>
  </si>
  <si>
    <t xml:space="preserve">    Verbleibensanordnung - ab 01.09.2009</t>
  </si>
  <si>
    <t xml:space="preserve">    Gewaltschutz - ab 01.09.2009</t>
  </si>
  <si>
    <r>
      <t xml:space="preserve">a) Beschwerden </t>
    </r>
    <r>
      <rPr>
        <vertAlign val="superscript"/>
        <sz val="8"/>
        <rFont val="Arial"/>
        <family val="2"/>
      </rPr>
      <t>10)</t>
    </r>
  </si>
  <si>
    <r>
      <t xml:space="preserve">10) </t>
    </r>
    <r>
      <rPr>
        <sz val="8"/>
        <rFont val="Arial"/>
        <family val="2"/>
      </rPr>
      <t>Die durchschnittliche Verfahrensdauer für die Jahre 2007 - 2009 musste nachträglich korrigiert werden.</t>
    </r>
  </si>
  <si>
    <r>
      <t xml:space="preserve">11) </t>
    </r>
    <r>
      <rPr>
        <sz val="8"/>
        <rFont val="Arial"/>
        <family val="2"/>
      </rPr>
      <t>Die Zahlen für die Jahre 2008 und 2009 mussten nachträglich korrigiert werden.</t>
    </r>
  </si>
  <si>
    <r>
      <t xml:space="preserve">Sonstige Beschwerden </t>
    </r>
    <r>
      <rPr>
        <vertAlign val="superscript"/>
        <sz val="8"/>
        <rFont val="Arial"/>
        <family val="2"/>
      </rPr>
      <t>11)</t>
    </r>
  </si>
  <si>
    <t>Freiheitsentziehung gem. § 415 Abs. 1 FamFG</t>
  </si>
  <si>
    <t>V.</t>
  </si>
  <si>
    <t>Aufgebotsverfahren - ab 2010</t>
  </si>
  <si>
    <r>
      <t xml:space="preserve">mehr als 12 Monate </t>
    </r>
    <r>
      <rPr>
        <vertAlign val="superscript"/>
        <sz val="8"/>
        <rFont val="Arial"/>
        <family val="2"/>
      </rPr>
      <t>11)</t>
    </r>
  </si>
  <si>
    <t>Am Jahresende blieben anhängig</t>
  </si>
  <si>
    <t xml:space="preserve">   Pflegschaften</t>
  </si>
  <si>
    <t xml:space="preserve">Begründung und Veränderung von Eigentum, Veränderung der </t>
  </si>
  <si>
    <t>Berechtigung am Erbbaurecht</t>
  </si>
  <si>
    <t>und Teileigentum sowie von Erbbaurechten</t>
  </si>
  <si>
    <t xml:space="preserve">  oder Anordnung der Unterbringung nach § 312 Nr. 1, 2 und 3 sowie</t>
  </si>
  <si>
    <r>
      <t xml:space="preserve">   Vormundschaften </t>
    </r>
    <r>
      <rPr>
        <vertAlign val="superscript"/>
        <sz val="8"/>
        <rFont val="Arial"/>
        <family val="2"/>
      </rPr>
      <t>2)</t>
    </r>
  </si>
  <si>
    <r>
      <t xml:space="preserve">6) </t>
    </r>
    <r>
      <rPr>
        <sz val="8"/>
        <rFont val="Arial"/>
        <family val="2"/>
      </rPr>
      <t>Anpassung an das FamFG</t>
    </r>
  </si>
  <si>
    <r>
      <t xml:space="preserve">  § 1846 BGB i.V.m. § 1908 i BGB </t>
    </r>
    <r>
      <rPr>
        <vertAlign val="superscript"/>
        <sz val="8"/>
        <rFont val="Arial"/>
        <family val="2"/>
      </rPr>
      <t>6)</t>
    </r>
  </si>
  <si>
    <r>
      <t xml:space="preserve">2) </t>
    </r>
    <r>
      <rPr>
        <sz val="8"/>
        <rFont val="Arial"/>
        <family val="2"/>
      </rPr>
      <t>Auf Grund der FGG-Reform wurden die Vormundschaften auf die Familiengerichte verlagert. Die Daten ab 2009 geben die Altverfahren beim
   Vormundschaftgericht wieder. Hierbei handelt es sich um eine künftig wegfallende Position.</t>
    </r>
  </si>
  <si>
    <t>Allgemeine Verfahren (incl. NC-Verfahren)</t>
  </si>
  <si>
    <r>
      <t xml:space="preserve">5) </t>
    </r>
    <r>
      <rPr>
        <sz val="8"/>
        <rFont val="Arial"/>
        <family val="2"/>
      </rPr>
      <t>Geänderte Erfassung ab 2011</t>
    </r>
  </si>
  <si>
    <t>Verfahren  -insgesamt-</t>
  </si>
  <si>
    <r>
      <t xml:space="preserve">  Klageverfahren </t>
    </r>
    <r>
      <rPr>
        <vertAlign val="superscript"/>
        <sz val="8"/>
        <rFont val="Arial"/>
        <family val="2"/>
      </rPr>
      <t>5)</t>
    </r>
  </si>
  <si>
    <r>
      <t xml:space="preserve">  Sonstige Verfahren </t>
    </r>
    <r>
      <rPr>
        <vertAlign val="superscript"/>
        <sz val="8"/>
        <rFont val="Arial"/>
        <family val="2"/>
      </rPr>
      <t>5)</t>
    </r>
  </si>
  <si>
    <r>
      <t xml:space="preserve">12) </t>
    </r>
    <r>
      <rPr>
        <sz val="8"/>
        <rFont val="Arial"/>
        <family val="2"/>
      </rPr>
      <t>Die Zahlen für die Jahre 2009 und 2010 mussten nachträglich korrigiert werden.</t>
    </r>
  </si>
  <si>
    <r>
      <t xml:space="preserve">Ersuchen an das Amtsgericht </t>
    </r>
    <r>
      <rPr>
        <b/>
        <vertAlign val="superscript"/>
        <sz val="8"/>
        <rFont val="Arial"/>
        <family val="2"/>
      </rPr>
      <t>12)</t>
    </r>
  </si>
  <si>
    <r>
      <t xml:space="preserve">Ersuchen an die Geschäftsstelle </t>
    </r>
    <r>
      <rPr>
        <b/>
        <vertAlign val="superscript"/>
        <sz val="8"/>
        <rFont val="Arial"/>
        <family val="2"/>
      </rPr>
      <t>12)</t>
    </r>
  </si>
  <si>
    <t xml:space="preserve">  davon entfielen an Stunden auf Sitzungsdienst</t>
  </si>
  <si>
    <t xml:space="preserve">                               im Bereich der Justizbehörde Hamburg (2009 bis 2012) </t>
  </si>
  <si>
    <t>Beschwerden in einstweiligen Anordnungsverfahren - ab 2011</t>
  </si>
  <si>
    <r>
      <t xml:space="preserve">13) </t>
    </r>
    <r>
      <rPr>
        <sz val="8"/>
        <rFont val="Arial"/>
        <family val="2"/>
      </rPr>
      <t>Die Zahl für das Jahr 2010 musste nachträglich korrigiert werden.</t>
    </r>
  </si>
  <si>
    <r>
      <t xml:space="preserve"> -in  Monaten-  </t>
    </r>
    <r>
      <rPr>
        <vertAlign val="superscript"/>
        <sz val="8"/>
        <rFont val="Arial"/>
        <family val="2"/>
      </rPr>
      <t>13)</t>
    </r>
  </si>
  <si>
    <t xml:space="preserve">  Einzelkaufmänner/Einzelkauffrauen</t>
  </si>
  <si>
    <t xml:space="preserve">  Offene Handelsgesellschaften</t>
  </si>
  <si>
    <t xml:space="preserve">  Kommanditgesellschaften</t>
  </si>
  <si>
    <t xml:space="preserve">  Europäische wirtschaftliche Interessenvereinigung</t>
  </si>
  <si>
    <t xml:space="preserve">  Rechtsformen ausländischen Rechts HRA</t>
  </si>
  <si>
    <t xml:space="preserve">  HRA Juristische Personen</t>
  </si>
  <si>
    <t xml:space="preserve">  Europäische Aktiengesellschaften (SE)</t>
  </si>
  <si>
    <t xml:space="preserve">  Rechtsformen ausländischen Rechts HRB</t>
  </si>
  <si>
    <t xml:space="preserve">  Insolvenzverfahren nach europäischem Recht (IE)</t>
  </si>
  <si>
    <r>
      <t xml:space="preserve">14) </t>
    </r>
    <r>
      <rPr>
        <sz val="8"/>
        <rFont val="Arial"/>
        <family val="2"/>
      </rPr>
      <t>Die Zahl für das Jahr 2002 musste nachträglich korrigiert werden.</t>
    </r>
  </si>
  <si>
    <r>
      <t xml:space="preserve">37,6 </t>
    </r>
    <r>
      <rPr>
        <vertAlign val="superscript"/>
        <sz val="8"/>
        <rFont val="Arial"/>
        <family val="2"/>
      </rPr>
      <t>14)</t>
    </r>
  </si>
  <si>
    <r>
      <t xml:space="preserve">58,2 </t>
    </r>
    <r>
      <rPr>
        <vertAlign val="superscript"/>
        <sz val="8"/>
        <rFont val="Arial"/>
        <family val="2"/>
      </rPr>
      <t>15)</t>
    </r>
  </si>
  <si>
    <r>
      <t xml:space="preserve">15) </t>
    </r>
    <r>
      <rPr>
        <sz val="8"/>
        <rFont val="Arial"/>
        <family val="2"/>
      </rPr>
      <t>Die Zahl für das Jahr 2004 musste nachträglich korrigiert werden.</t>
    </r>
  </si>
  <si>
    <r>
      <t xml:space="preserve">16) </t>
    </r>
    <r>
      <rPr>
        <sz val="8"/>
        <rFont val="Arial"/>
        <family val="2"/>
      </rPr>
      <t>Ohne Rechtshilfeersuchen in Straf- und Bußgeldverfahren</t>
    </r>
  </si>
  <si>
    <r>
      <t xml:space="preserve">1.910 </t>
    </r>
    <r>
      <rPr>
        <vertAlign val="superscript"/>
        <sz val="8"/>
        <rFont val="Arial"/>
        <family val="2"/>
      </rPr>
      <t>16)</t>
    </r>
  </si>
  <si>
    <r>
      <t xml:space="preserve">1.856 </t>
    </r>
    <r>
      <rPr>
        <vertAlign val="superscript"/>
        <sz val="8"/>
        <rFont val="Arial"/>
        <family val="2"/>
      </rPr>
      <t>16)</t>
    </r>
  </si>
  <si>
    <r>
      <t xml:space="preserve">659 </t>
    </r>
    <r>
      <rPr>
        <vertAlign val="superscript"/>
        <sz val="8"/>
        <rFont val="Arial"/>
        <family val="2"/>
      </rPr>
      <t>16)</t>
    </r>
  </si>
  <si>
    <t>17)</t>
  </si>
  <si>
    <r>
      <t xml:space="preserve">17) </t>
    </r>
    <r>
      <rPr>
        <sz val="8"/>
        <rFont val="Arial"/>
        <family val="2"/>
      </rPr>
      <t>Zahlen in Straf- und Bußgeldverfahren liegen aufgrund der Umstellung auf das Fachverfahren forumSTAR nicht vor.</t>
    </r>
  </si>
  <si>
    <t xml:space="preserve">                                                             Bekanntmachung vom 13. November 2013 (Az. 3004/2E)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</si>
</sst>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General_)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i/>
      <vertAlign val="superscript"/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3" fontId="2" fillId="0" borderId="0" xfId="0" applyNumberFormat="1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3" fontId="2" fillId="0" borderId="0" xfId="0" applyNumberFormat="1" applyFont="1" applyProtection="1">
      <protection locked="0"/>
    </xf>
    <xf numFmtId="1" fontId="3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3" fontId="2" fillId="0" borderId="0" xfId="0" applyNumberFormat="1" applyFont="1"/>
    <xf numFmtId="3" fontId="2" fillId="0" borderId="0" xfId="0" applyNumberFormat="1" applyFont="1" applyAlignment="1" applyProtection="1">
      <alignment horizontal="left"/>
      <protection locked="0"/>
    </xf>
    <xf numFmtId="0" fontId="6" fillId="0" borderId="0" xfId="0" applyFont="1"/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165" fontId="2" fillId="0" borderId="0" xfId="0" applyNumberFormat="1" applyFont="1" applyBorder="1" applyProtection="1">
      <protection locked="0"/>
    </xf>
    <xf numFmtId="165" fontId="2" fillId="0" borderId="0" xfId="0" applyNumberFormat="1" applyFont="1" applyProtection="1">
      <protection locked="0"/>
    </xf>
    <xf numFmtId="0" fontId="2" fillId="0" borderId="0" xfId="0" applyFont="1"/>
    <xf numFmtId="0" fontId="4" fillId="0" borderId="0" xfId="0" applyFont="1"/>
    <xf numFmtId="3" fontId="6" fillId="0" borderId="0" xfId="0" applyNumberFormat="1" applyFont="1" applyProtection="1">
      <protection locked="0"/>
    </xf>
    <xf numFmtId="165" fontId="6" fillId="0" borderId="0" xfId="0" applyNumberFormat="1" applyFont="1" applyProtection="1">
      <protection locked="0"/>
    </xf>
    <xf numFmtId="3" fontId="8" fillId="0" borderId="0" xfId="0" applyNumberFormat="1" applyFont="1"/>
    <xf numFmtId="3" fontId="2" fillId="0" borderId="0" xfId="0" applyNumberFormat="1" applyFont="1" applyAlignment="1">
      <alignment horizontal="right"/>
    </xf>
    <xf numFmtId="0" fontId="2" fillId="0" borderId="0" xfId="0" applyFont="1" applyBorder="1" applyAlignment="1" applyProtection="1">
      <alignment horizontal="right"/>
      <protection locked="0"/>
    </xf>
    <xf numFmtId="49" fontId="2" fillId="0" borderId="0" xfId="0" applyNumberFormat="1" applyFont="1" applyProtection="1">
      <protection locked="0"/>
    </xf>
    <xf numFmtId="164" fontId="2" fillId="0" borderId="0" xfId="0" applyNumberFormat="1" applyFont="1" applyBorder="1" applyProtection="1">
      <protection locked="0"/>
    </xf>
    <xf numFmtId="164" fontId="2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Border="1" applyAlignment="1" applyProtection="1">
      <alignment horizontal="right"/>
      <protection locked="0"/>
    </xf>
    <xf numFmtId="0" fontId="2" fillId="0" borderId="2" xfId="0" applyFont="1" applyBorder="1" applyProtection="1">
      <protection locked="0"/>
    </xf>
    <xf numFmtId="0" fontId="4" fillId="0" borderId="0" xfId="0" applyFont="1" applyProtection="1"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165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>
      <alignment horizontal="center"/>
    </xf>
    <xf numFmtId="3" fontId="2" fillId="2" borderId="0" xfId="0" applyNumberFormat="1" applyFont="1" applyFill="1" applyAlignment="1" applyProtection="1">
      <alignment horizontal="center"/>
      <protection locked="0"/>
    </xf>
    <xf numFmtId="0" fontId="11" fillId="0" borderId="0" xfId="0" applyFont="1" applyBorder="1" applyAlignment="1" applyProtection="1">
      <protection locked="0"/>
    </xf>
    <xf numFmtId="0" fontId="2" fillId="0" borderId="0" xfId="0" applyFont="1" applyAlignment="1" applyProtection="1">
      <alignment wrapText="1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Fill="1" applyAlignment="1" applyProtection="1">
      <alignment horizontal="center"/>
      <protection locked="0"/>
    </xf>
    <xf numFmtId="165" fontId="2" fillId="0" borderId="0" xfId="0" applyNumberFormat="1" applyFont="1" applyFill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vertical="top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49" fontId="3" fillId="0" borderId="0" xfId="0" applyNumberFormat="1" applyFont="1" applyProtection="1">
      <protection locked="0"/>
    </xf>
    <xf numFmtId="0" fontId="3" fillId="0" borderId="0" xfId="0" applyFont="1" applyAlignment="1" applyProtection="1"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 vertical="top"/>
      <protection locked="0"/>
    </xf>
    <xf numFmtId="0" fontId="12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Protection="1">
      <protection locked="0"/>
    </xf>
    <xf numFmtId="1" fontId="3" fillId="0" borderId="1" xfId="0" applyNumberFormat="1" applyFont="1" applyBorder="1" applyProtection="1">
      <protection locked="0"/>
    </xf>
    <xf numFmtId="0" fontId="6" fillId="0" borderId="1" xfId="0" applyFont="1" applyBorder="1" applyProtection="1">
      <protection locked="0"/>
    </xf>
    <xf numFmtId="3" fontId="2" fillId="3" borderId="0" xfId="0" applyNumberFormat="1" applyFont="1" applyFill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 vertical="top"/>
      <protection locked="0"/>
    </xf>
    <xf numFmtId="49" fontId="2" fillId="0" borderId="0" xfId="0" applyNumberFormat="1" applyFont="1" applyFill="1" applyAlignment="1" applyProtection="1">
      <alignment horizontal="center" vertical="top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3" fontId="2" fillId="0" borderId="0" xfId="0" applyNumberFormat="1" applyFont="1" applyFill="1" applyProtection="1">
      <protection locked="0"/>
    </xf>
    <xf numFmtId="3" fontId="2" fillId="0" borderId="0" xfId="0" applyNumberFormat="1" applyFont="1" applyFill="1" applyBorder="1" applyProtection="1">
      <protection locked="0"/>
    </xf>
    <xf numFmtId="3" fontId="6" fillId="0" borderId="0" xfId="0" applyNumberFormat="1" applyFont="1" applyFill="1" applyProtection="1">
      <protection locked="0"/>
    </xf>
    <xf numFmtId="3" fontId="2" fillId="0" borderId="0" xfId="0" applyNumberFormat="1" applyFont="1" applyFill="1" applyAlignment="1" applyProtection="1">
      <alignment horizontal="right"/>
      <protection locked="0"/>
    </xf>
    <xf numFmtId="0" fontId="2" fillId="0" borderId="0" xfId="0" quotePrefix="1" applyFont="1" applyProtection="1">
      <protection locked="0"/>
    </xf>
    <xf numFmtId="49" fontId="2" fillId="0" borderId="0" xfId="0" quotePrefix="1" applyNumberFormat="1" applyFont="1" applyProtection="1">
      <protection locked="0"/>
    </xf>
    <xf numFmtId="0" fontId="2" fillId="0" borderId="0" xfId="0" applyNumberFormat="1" applyFont="1" applyFill="1" applyAlignment="1" applyProtection="1">
      <alignment horizontal="center" vertical="top"/>
      <protection locked="0"/>
    </xf>
    <xf numFmtId="49" fontId="2" fillId="0" borderId="0" xfId="0" applyNumberFormat="1" applyFont="1" applyFill="1" applyAlignment="1" applyProtection="1">
      <alignment vertical="top"/>
      <protection locked="0"/>
    </xf>
    <xf numFmtId="166" fontId="2" fillId="0" borderId="0" xfId="0" applyNumberFormat="1" applyFont="1" applyFill="1" applyBorder="1" applyAlignment="1" applyProtection="1">
      <alignment horizontal="left" wrapText="1"/>
      <protection locked="0"/>
    </xf>
    <xf numFmtId="166" fontId="2" fillId="0" borderId="3" xfId="0" applyNumberFormat="1" applyFont="1" applyFill="1" applyBorder="1" applyAlignment="1" applyProtection="1">
      <alignment horizontal="left" wrapText="1"/>
      <protection locked="0"/>
    </xf>
    <xf numFmtId="166" fontId="2" fillId="0" borderId="0" xfId="0" applyNumberFormat="1" applyFont="1" applyFill="1" applyBorder="1" applyAlignment="1" applyProtection="1">
      <alignment horizontal="left"/>
      <protection locked="0"/>
    </xf>
    <xf numFmtId="166" fontId="2" fillId="0" borderId="3" xfId="0" applyNumberFormat="1" applyFont="1" applyFill="1" applyBorder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0" fontId="1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Continuous"/>
      <protection locked="0"/>
    </xf>
    <xf numFmtId="0" fontId="1" fillId="0" borderId="0" xfId="0" applyFont="1" applyBorder="1" applyAlignment="1" applyProtection="1">
      <alignment horizontal="centerContinuous"/>
      <protection locked="0"/>
    </xf>
    <xf numFmtId="3" fontId="1" fillId="0" borderId="0" xfId="0" applyNumberFormat="1" applyFont="1" applyProtection="1">
      <protection locked="0"/>
    </xf>
    <xf numFmtId="3" fontId="4" fillId="0" borderId="0" xfId="0" applyNumberFormat="1" applyFont="1" applyAlignment="1">
      <alignment horizontal="right"/>
    </xf>
    <xf numFmtId="0" fontId="1" fillId="0" borderId="0" xfId="0" applyFont="1"/>
    <xf numFmtId="49" fontId="2" fillId="0" borderId="0" xfId="0" applyNumberFormat="1" applyFont="1" applyFill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>
      <alignment horizontal="right"/>
    </xf>
    <xf numFmtId="0" fontId="3" fillId="0" borderId="0" xfId="0" applyFont="1"/>
    <xf numFmtId="3" fontId="3" fillId="0" borderId="0" xfId="0" applyNumberFormat="1" applyFont="1" applyProtection="1">
      <protection locked="0"/>
    </xf>
    <xf numFmtId="0" fontId="1" fillId="0" borderId="0" xfId="0" applyFont="1" applyFill="1" applyProtection="1">
      <protection locked="0"/>
    </xf>
    <xf numFmtId="164" fontId="2" fillId="0" borderId="0" xfId="0" applyNumberFormat="1" applyFont="1" applyFill="1" applyAlignment="1" applyProtection="1">
      <alignment horizontal="center"/>
      <protection locked="0"/>
    </xf>
    <xf numFmtId="1" fontId="1" fillId="0" borderId="0" xfId="0" applyNumberFormat="1" applyFont="1" applyProtection="1">
      <protection locked="0"/>
    </xf>
    <xf numFmtId="3" fontId="2" fillId="0" borderId="2" xfId="0" applyNumberFormat="1" applyFont="1" applyBorder="1" applyProtection="1">
      <protection locked="0"/>
    </xf>
    <xf numFmtId="0" fontId="1" fillId="0" borderId="2" xfId="0" applyFont="1" applyBorder="1" applyProtection="1"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166" fontId="2" fillId="0" borderId="0" xfId="0" applyNumberFormat="1" applyFont="1" applyFill="1" applyBorder="1" applyAlignment="1" applyProtection="1">
      <alignment horizontal="left" wrapText="1"/>
      <protection locked="0"/>
    </xf>
    <xf numFmtId="166" fontId="2" fillId="0" borderId="3" xfId="0" applyNumberFormat="1" applyFont="1" applyFill="1" applyBorder="1" applyAlignment="1" applyProtection="1">
      <alignment horizontal="left" wrapText="1"/>
      <protection locked="0"/>
    </xf>
    <xf numFmtId="3" fontId="2" fillId="0" borderId="0" xfId="0" applyNumberFormat="1" applyFont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75"/>
  <sheetViews>
    <sheetView showGridLines="0" tabSelected="1" view="pageBreakPreview" zoomScaleNormal="75" zoomScaleSheetLayoutView="100" workbookViewId="0">
      <selection activeCell="Y4" sqref="Y4"/>
    </sheetView>
  </sheetViews>
  <sheetFormatPr baseColWidth="10" defaultColWidth="9.7109375" defaultRowHeight="12.75" outlineLevelRow="2" outlineLevelCol="1" x14ac:dyDescent="0.2"/>
  <cols>
    <col min="1" max="1" width="6.85546875" style="21" customWidth="1"/>
    <col min="2" max="2" width="49.7109375" style="21" customWidth="1"/>
    <col min="3" max="3" width="0" style="21" hidden="1" customWidth="1"/>
    <col min="4" max="4" width="8.28515625" style="85" hidden="1" customWidth="1" outlineLevel="1"/>
    <col min="5" max="5" width="8.7109375" style="21" hidden="1" customWidth="1" outlineLevel="1"/>
    <col min="6" max="6" width="2.140625" style="21" hidden="1" customWidth="1" outlineLevel="1"/>
    <col min="7" max="7" width="8.28515625" style="21" hidden="1" customWidth="1" outlineLevel="1"/>
    <col min="8" max="8" width="8.28515625" style="7" hidden="1" customWidth="1" outlineLevel="1" collapsed="1"/>
    <col min="9" max="20" width="8.28515625" style="7" hidden="1" customWidth="1" outlineLevel="1"/>
    <col min="21" max="21" width="8.28515625" style="7" customWidth="1" collapsed="1"/>
    <col min="22" max="22" width="7.42578125" style="21" customWidth="1"/>
    <col min="23" max="24" width="7.85546875" style="21" customWidth="1"/>
    <col min="25" max="25" width="13.140625" style="21" customWidth="1"/>
    <col min="26" max="16384" width="9.7109375" style="21"/>
  </cols>
  <sheetData>
    <row r="1" spans="1:24" ht="18" x14ac:dyDescent="0.25">
      <c r="A1" s="83"/>
      <c r="B1" s="46" t="s">
        <v>296</v>
      </c>
      <c r="C1" s="84"/>
      <c r="D1" s="83"/>
      <c r="E1" s="83"/>
      <c r="F1" s="83"/>
      <c r="G1" s="8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4" x14ac:dyDescent="0.2">
      <c r="A2" s="85"/>
      <c r="B2" s="86" t="s">
        <v>595</v>
      </c>
      <c r="C2" s="87"/>
      <c r="E2" s="85"/>
      <c r="F2" s="85"/>
      <c r="G2" s="8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4" x14ac:dyDescent="0.2">
      <c r="A3" s="85"/>
      <c r="B3" s="60" t="s">
        <v>713</v>
      </c>
      <c r="C3" s="84"/>
      <c r="D3" s="83"/>
      <c r="E3" s="83"/>
      <c r="F3" s="83"/>
      <c r="G3" s="8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4" x14ac:dyDescent="0.2">
      <c r="A4" s="85"/>
      <c r="B4" s="61" t="s">
        <v>736</v>
      </c>
      <c r="C4" s="88"/>
      <c r="D4" s="89"/>
      <c r="E4" s="89"/>
      <c r="F4" s="89"/>
      <c r="G4" s="8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4" x14ac:dyDescent="0.2">
      <c r="A5" s="85"/>
      <c r="B5" s="85"/>
      <c r="C5" s="87"/>
      <c r="E5" s="85"/>
      <c r="F5" s="85"/>
      <c r="G5" s="8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4" x14ac:dyDescent="0.2">
      <c r="A6" s="2"/>
      <c r="B6" s="3" t="s">
        <v>0</v>
      </c>
      <c r="C6" s="4"/>
      <c r="D6" s="2"/>
      <c r="E6" s="85"/>
      <c r="F6" s="85"/>
      <c r="G6" s="8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4" x14ac:dyDescent="0.2">
      <c r="A7" s="2"/>
      <c r="B7" s="2"/>
      <c r="C7" s="4"/>
      <c r="D7" s="2"/>
      <c r="E7" s="85"/>
      <c r="F7" s="85"/>
      <c r="G7" s="8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4" x14ac:dyDescent="0.2">
      <c r="A8" s="5"/>
      <c r="B8" s="6" t="s">
        <v>1</v>
      </c>
      <c r="C8" s="5"/>
      <c r="D8" s="2"/>
    </row>
    <row r="9" spans="1:24" x14ac:dyDescent="0.2">
      <c r="A9" s="5"/>
      <c r="B9" s="5"/>
      <c r="C9" s="5">
        <f>1989</f>
        <v>1989</v>
      </c>
      <c r="D9" s="62">
        <f>1993</f>
        <v>1993</v>
      </c>
      <c r="E9" s="62">
        <v>1994</v>
      </c>
      <c r="F9" s="62"/>
      <c r="G9" s="63">
        <v>1995</v>
      </c>
      <c r="H9" s="64">
        <v>1996</v>
      </c>
      <c r="I9" s="38">
        <v>1997</v>
      </c>
      <c r="J9" s="38">
        <v>1998</v>
      </c>
      <c r="K9" s="38">
        <v>1999</v>
      </c>
      <c r="L9" s="38">
        <v>2000</v>
      </c>
      <c r="M9" s="38">
        <v>2001</v>
      </c>
      <c r="N9" s="38">
        <v>2002</v>
      </c>
      <c r="O9" s="38">
        <v>2003</v>
      </c>
      <c r="P9" s="38">
        <v>2004</v>
      </c>
      <c r="Q9" s="38">
        <v>2005</v>
      </c>
      <c r="R9" s="38">
        <v>2006</v>
      </c>
      <c r="S9" s="38">
        <v>2007</v>
      </c>
      <c r="T9" s="38">
        <v>2008</v>
      </c>
      <c r="U9" s="38">
        <v>2009</v>
      </c>
      <c r="V9" s="38">
        <v>2010</v>
      </c>
      <c r="W9" s="38">
        <v>2011</v>
      </c>
      <c r="X9" s="38">
        <v>2012</v>
      </c>
    </row>
    <row r="10" spans="1:24" x14ac:dyDescent="0.2">
      <c r="A10" s="6" t="s">
        <v>2</v>
      </c>
      <c r="B10" s="6" t="s">
        <v>3</v>
      </c>
      <c r="C10" s="5"/>
      <c r="D10" s="2"/>
    </row>
    <row r="11" spans="1:24" x14ac:dyDescent="0.2">
      <c r="A11" s="6" t="s">
        <v>4</v>
      </c>
      <c r="B11" s="6" t="s">
        <v>439</v>
      </c>
      <c r="C11" s="5"/>
      <c r="D11" s="2"/>
      <c r="E11" s="90"/>
      <c r="F11" s="90"/>
    </row>
    <row r="12" spans="1:24" x14ac:dyDescent="0.2">
      <c r="A12" s="9" t="s">
        <v>5</v>
      </c>
      <c r="B12" s="5" t="s">
        <v>6</v>
      </c>
      <c r="C12" s="7">
        <f>48366</f>
        <v>48366</v>
      </c>
      <c r="D12" s="1">
        <v>50424</v>
      </c>
      <c r="E12" s="10">
        <v>50367</v>
      </c>
      <c r="F12" s="91" t="s">
        <v>7</v>
      </c>
      <c r="G12" s="7">
        <v>48653</v>
      </c>
      <c r="H12" s="7">
        <v>49868</v>
      </c>
      <c r="I12" s="39">
        <v>50881</v>
      </c>
      <c r="J12" s="39">
        <v>51228</v>
      </c>
      <c r="K12" s="39">
        <v>49356</v>
      </c>
      <c r="L12" s="39">
        <v>46347</v>
      </c>
      <c r="M12" s="39">
        <v>44774</v>
      </c>
      <c r="N12" s="39">
        <v>47352</v>
      </c>
      <c r="O12" s="39">
        <v>48668</v>
      </c>
      <c r="P12" s="39">
        <v>49810</v>
      </c>
      <c r="Q12" s="39">
        <v>47392</v>
      </c>
      <c r="R12" s="39">
        <v>44947</v>
      </c>
      <c r="S12" s="39">
        <v>40908</v>
      </c>
      <c r="T12" s="39">
        <v>41731</v>
      </c>
      <c r="U12" s="39">
        <v>40224</v>
      </c>
      <c r="V12" s="39">
        <v>38829</v>
      </c>
      <c r="W12" s="39">
        <v>37883</v>
      </c>
      <c r="X12" s="39">
        <v>39990</v>
      </c>
    </row>
    <row r="13" spans="1:24" x14ac:dyDescent="0.2">
      <c r="A13" s="11" t="s">
        <v>8</v>
      </c>
      <c r="B13" s="5" t="s">
        <v>9</v>
      </c>
      <c r="C13" s="7">
        <f>49908</f>
        <v>49908</v>
      </c>
      <c r="D13" s="1">
        <v>46983</v>
      </c>
      <c r="E13" s="10">
        <v>50179</v>
      </c>
      <c r="F13" s="91" t="s">
        <v>7</v>
      </c>
      <c r="G13" s="7">
        <v>48229</v>
      </c>
      <c r="H13" s="7">
        <v>48403</v>
      </c>
      <c r="I13" s="39">
        <v>51932</v>
      </c>
      <c r="J13" s="39">
        <v>52070</v>
      </c>
      <c r="K13" s="39">
        <v>51746</v>
      </c>
      <c r="L13" s="39">
        <v>48216</v>
      </c>
      <c r="M13" s="39">
        <v>43612</v>
      </c>
      <c r="N13" s="39">
        <v>45834</v>
      </c>
      <c r="O13" s="39">
        <v>49484</v>
      </c>
      <c r="P13" s="39">
        <v>51165</v>
      </c>
      <c r="Q13" s="39">
        <v>48486</v>
      </c>
      <c r="R13" s="39">
        <v>45961</v>
      </c>
      <c r="S13" s="39">
        <v>41800</v>
      </c>
      <c r="T13" s="39">
        <v>41542</v>
      </c>
      <c r="U13" s="39">
        <v>40126</v>
      </c>
      <c r="V13" s="39">
        <v>38679</v>
      </c>
      <c r="W13" s="39">
        <v>38004</v>
      </c>
      <c r="X13" s="39">
        <v>38404</v>
      </c>
    </row>
    <row r="14" spans="1:24" x14ac:dyDescent="0.2">
      <c r="A14" s="5" t="s">
        <v>10</v>
      </c>
      <c r="B14" s="5" t="s">
        <v>11</v>
      </c>
      <c r="C14" s="7">
        <f>21687</f>
        <v>21687</v>
      </c>
      <c r="D14" s="1">
        <v>26040</v>
      </c>
      <c r="E14" s="10">
        <v>26404</v>
      </c>
      <c r="F14" s="91" t="s">
        <v>7</v>
      </c>
      <c r="G14" s="7">
        <v>25999</v>
      </c>
      <c r="H14" s="7">
        <v>27365</v>
      </c>
      <c r="I14" s="39">
        <v>24489</v>
      </c>
      <c r="J14" s="39">
        <v>23500</v>
      </c>
      <c r="K14" s="39">
        <v>21180</v>
      </c>
      <c r="L14" s="39">
        <v>18574</v>
      </c>
      <c r="M14" s="39">
        <v>19708</v>
      </c>
      <c r="N14" s="39">
        <v>21180</v>
      </c>
      <c r="O14" s="39">
        <v>20377</v>
      </c>
      <c r="P14" s="39">
        <v>19108</v>
      </c>
      <c r="Q14" s="39">
        <v>17760</v>
      </c>
      <c r="R14" s="39">
        <v>16742</v>
      </c>
      <c r="S14" s="39">
        <v>15846</v>
      </c>
      <c r="T14" s="39">
        <v>16018</v>
      </c>
      <c r="U14" s="39">
        <v>16136</v>
      </c>
      <c r="V14" s="39">
        <v>16189</v>
      </c>
      <c r="W14" s="39">
        <v>15948</v>
      </c>
      <c r="X14" s="39">
        <v>17535</v>
      </c>
    </row>
    <row r="15" spans="1:24" x14ac:dyDescent="0.2">
      <c r="A15" s="32" t="s">
        <v>12</v>
      </c>
      <c r="B15" s="5" t="s">
        <v>456</v>
      </c>
      <c r="C15" s="7"/>
      <c r="D15" s="1"/>
      <c r="E15" s="10"/>
      <c r="F15" s="91"/>
      <c r="G15" s="7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</row>
    <row r="16" spans="1:24" x14ac:dyDescent="0.2">
      <c r="A16" s="32" t="s">
        <v>14</v>
      </c>
      <c r="B16" s="5" t="s">
        <v>394</v>
      </c>
      <c r="C16" s="7"/>
      <c r="D16" s="1"/>
      <c r="E16" s="10"/>
      <c r="F16" s="91"/>
      <c r="G16" s="7"/>
      <c r="I16" s="39"/>
      <c r="J16" s="39"/>
      <c r="K16" s="39"/>
      <c r="L16" s="39"/>
      <c r="M16" s="39"/>
      <c r="N16" s="39"/>
      <c r="O16" s="39"/>
      <c r="P16" s="39">
        <v>69</v>
      </c>
      <c r="Q16" s="39">
        <v>57</v>
      </c>
      <c r="R16" s="39">
        <v>3</v>
      </c>
      <c r="S16" s="39">
        <v>10</v>
      </c>
      <c r="T16" s="39">
        <v>6</v>
      </c>
      <c r="U16" s="39">
        <v>13</v>
      </c>
      <c r="V16" s="39">
        <v>5</v>
      </c>
      <c r="W16" s="39">
        <v>1</v>
      </c>
      <c r="X16" s="39">
        <v>4</v>
      </c>
    </row>
    <row r="17" spans="1:24" ht="33.75" x14ac:dyDescent="0.2">
      <c r="A17" s="54" t="s">
        <v>17</v>
      </c>
      <c r="B17" s="47" t="s">
        <v>395</v>
      </c>
      <c r="C17" s="7"/>
      <c r="D17" s="1"/>
      <c r="E17" s="10"/>
      <c r="F17" s="91"/>
      <c r="G17" s="7"/>
      <c r="I17" s="39"/>
      <c r="J17" s="39"/>
      <c r="K17" s="39"/>
      <c r="L17" s="39"/>
      <c r="M17" s="39"/>
      <c r="N17" s="39"/>
      <c r="O17" s="39"/>
      <c r="P17" s="39">
        <v>134</v>
      </c>
      <c r="Q17" s="39">
        <v>122</v>
      </c>
      <c r="R17" s="39">
        <v>111</v>
      </c>
      <c r="S17" s="39">
        <v>116</v>
      </c>
      <c r="T17" s="39">
        <v>101</v>
      </c>
      <c r="U17" s="39">
        <v>96</v>
      </c>
      <c r="V17" s="39">
        <v>102</v>
      </c>
      <c r="W17" s="39">
        <v>67</v>
      </c>
      <c r="X17" s="39">
        <v>31</v>
      </c>
    </row>
    <row r="18" spans="1:24" x14ac:dyDescent="0.2">
      <c r="A18" s="32" t="s">
        <v>20</v>
      </c>
      <c r="B18" s="5" t="s">
        <v>396</v>
      </c>
      <c r="C18" s="7"/>
      <c r="D18" s="1"/>
      <c r="E18" s="10"/>
      <c r="F18" s="91"/>
      <c r="G18" s="7"/>
      <c r="I18" s="39"/>
      <c r="J18" s="39"/>
      <c r="K18" s="39"/>
      <c r="L18" s="39"/>
      <c r="M18" s="39"/>
      <c r="N18" s="39"/>
      <c r="O18" s="39"/>
      <c r="P18" s="39">
        <v>1720</v>
      </c>
      <c r="Q18" s="39">
        <v>1592</v>
      </c>
      <c r="R18" s="39">
        <v>1742</v>
      </c>
      <c r="S18" s="39">
        <v>1600</v>
      </c>
      <c r="T18" s="39">
        <v>1649</v>
      </c>
      <c r="U18" s="39">
        <v>1397</v>
      </c>
      <c r="V18" s="39">
        <v>855</v>
      </c>
      <c r="W18" s="39">
        <v>720</v>
      </c>
      <c r="X18" s="39">
        <v>643</v>
      </c>
    </row>
    <row r="19" spans="1:24" x14ac:dyDescent="0.2">
      <c r="A19" s="32" t="s">
        <v>23</v>
      </c>
      <c r="B19" s="5" t="s">
        <v>707</v>
      </c>
      <c r="C19" s="7"/>
      <c r="D19" s="1"/>
      <c r="E19" s="10"/>
      <c r="F19" s="91"/>
      <c r="G19" s="7"/>
      <c r="I19" s="39"/>
      <c r="J19" s="39"/>
      <c r="K19" s="39"/>
      <c r="L19" s="39"/>
      <c r="M19" s="39"/>
      <c r="N19" s="39"/>
      <c r="O19" s="39"/>
      <c r="P19" s="39">
        <v>25493</v>
      </c>
      <c r="Q19" s="39">
        <v>28810</v>
      </c>
      <c r="R19" s="39">
        <v>27031</v>
      </c>
      <c r="S19" s="39">
        <v>23706</v>
      </c>
      <c r="T19" s="39">
        <v>24728</v>
      </c>
      <c r="U19" s="39">
        <v>24285</v>
      </c>
      <c r="V19" s="39">
        <v>26073</v>
      </c>
      <c r="W19" s="39">
        <v>32491</v>
      </c>
      <c r="X19" s="39">
        <v>34823</v>
      </c>
    </row>
    <row r="20" spans="1:24" x14ac:dyDescent="0.2">
      <c r="A20" s="32" t="s">
        <v>26</v>
      </c>
      <c r="B20" s="5" t="s">
        <v>708</v>
      </c>
      <c r="C20" s="7"/>
      <c r="D20" s="1"/>
      <c r="E20" s="10"/>
      <c r="F20" s="91"/>
      <c r="G20" s="7"/>
      <c r="I20" s="39"/>
      <c r="J20" s="39"/>
      <c r="K20" s="39"/>
      <c r="L20" s="39"/>
      <c r="M20" s="39"/>
      <c r="N20" s="39"/>
      <c r="O20" s="39"/>
      <c r="P20" s="39">
        <v>23749</v>
      </c>
      <c r="Q20" s="39">
        <v>17905</v>
      </c>
      <c r="R20" s="39">
        <v>17074</v>
      </c>
      <c r="S20" s="39">
        <v>16368</v>
      </c>
      <c r="T20" s="39">
        <v>15058</v>
      </c>
      <c r="U20" s="39">
        <v>14335</v>
      </c>
      <c r="V20" s="39">
        <v>11638</v>
      </c>
      <c r="W20" s="39">
        <v>4698</v>
      </c>
      <c r="X20" s="39">
        <v>2831</v>
      </c>
    </row>
    <row r="21" spans="1:24" hidden="1" outlineLevel="1" x14ac:dyDescent="0.2">
      <c r="A21" s="5"/>
      <c r="B21" s="5"/>
      <c r="C21" s="7"/>
      <c r="D21" s="1"/>
      <c r="E21" s="10"/>
      <c r="F21" s="91"/>
      <c r="G21" s="7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</row>
    <row r="22" spans="1:24" hidden="1" outlineLevel="1" x14ac:dyDescent="0.2">
      <c r="A22" s="5" t="s">
        <v>12</v>
      </c>
      <c r="B22" s="5" t="s">
        <v>13</v>
      </c>
      <c r="C22" s="5"/>
      <c r="D22" s="2"/>
      <c r="E22" s="92"/>
      <c r="F22" s="12"/>
      <c r="G22" s="7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</row>
    <row r="23" spans="1:24" hidden="1" outlineLevel="1" x14ac:dyDescent="0.2">
      <c r="A23" s="5" t="s">
        <v>14</v>
      </c>
      <c r="B23" s="5" t="s">
        <v>15</v>
      </c>
      <c r="C23" s="7">
        <f>167</f>
        <v>167</v>
      </c>
      <c r="D23" s="1">
        <v>140</v>
      </c>
      <c r="E23" s="13" t="s">
        <v>16</v>
      </c>
      <c r="F23" s="14"/>
      <c r="G23" s="7">
        <v>157</v>
      </c>
      <c r="H23" s="7">
        <v>238</v>
      </c>
      <c r="I23" s="39">
        <v>256</v>
      </c>
      <c r="J23" s="39">
        <v>174</v>
      </c>
      <c r="K23" s="39">
        <v>93</v>
      </c>
      <c r="L23" s="39">
        <v>94</v>
      </c>
      <c r="M23" s="39">
        <v>63</v>
      </c>
      <c r="N23" s="39">
        <v>100</v>
      </c>
      <c r="O23" s="39">
        <v>135</v>
      </c>
      <c r="P23" s="39" t="s">
        <v>298</v>
      </c>
      <c r="Q23" s="39"/>
      <c r="R23" s="39"/>
      <c r="S23" s="39"/>
      <c r="T23" s="39"/>
      <c r="U23" s="39"/>
      <c r="V23" s="39"/>
      <c r="W23" s="39"/>
      <c r="X23" s="39"/>
    </row>
    <row r="24" spans="1:24" hidden="1" outlineLevel="1" x14ac:dyDescent="0.2">
      <c r="A24" s="5" t="s">
        <v>17</v>
      </c>
      <c r="B24" s="5" t="s">
        <v>306</v>
      </c>
      <c r="C24" s="7">
        <f>555</f>
        <v>555</v>
      </c>
      <c r="D24" s="1">
        <v>576</v>
      </c>
      <c r="E24" s="13" t="s">
        <v>19</v>
      </c>
      <c r="F24" s="14"/>
      <c r="G24" s="7">
        <v>481</v>
      </c>
      <c r="H24" s="7">
        <v>435</v>
      </c>
      <c r="I24" s="39">
        <v>495</v>
      </c>
      <c r="J24" s="39">
        <v>490</v>
      </c>
      <c r="K24" s="39"/>
      <c r="L24" s="39"/>
      <c r="M24" s="39"/>
      <c r="N24" s="39">
        <v>51</v>
      </c>
      <c r="O24" s="39">
        <v>67</v>
      </c>
      <c r="P24" s="39">
        <v>69</v>
      </c>
      <c r="Q24" s="39"/>
      <c r="R24" s="39"/>
      <c r="S24" s="39"/>
      <c r="T24" s="39"/>
      <c r="U24" s="39"/>
      <c r="V24" s="39"/>
      <c r="W24" s="39"/>
      <c r="X24" s="39"/>
    </row>
    <row r="25" spans="1:24" hidden="1" outlineLevel="1" x14ac:dyDescent="0.2">
      <c r="A25" s="5" t="s">
        <v>20</v>
      </c>
      <c r="B25" s="5" t="s">
        <v>21</v>
      </c>
      <c r="C25" s="7">
        <f>228</f>
        <v>228</v>
      </c>
      <c r="D25" s="1">
        <v>196</v>
      </c>
      <c r="E25" s="13" t="s">
        <v>22</v>
      </c>
      <c r="F25" s="14"/>
      <c r="G25" s="7">
        <v>227</v>
      </c>
      <c r="H25" s="7">
        <v>198</v>
      </c>
      <c r="I25" s="39">
        <v>195</v>
      </c>
      <c r="J25" s="39">
        <v>151</v>
      </c>
      <c r="K25" s="39">
        <v>161</v>
      </c>
      <c r="L25" s="39">
        <v>151</v>
      </c>
      <c r="M25" s="39">
        <v>129</v>
      </c>
      <c r="N25" s="39">
        <v>94</v>
      </c>
      <c r="O25" s="39">
        <v>114</v>
      </c>
      <c r="P25" s="39" t="s">
        <v>298</v>
      </c>
      <c r="Q25" s="39"/>
      <c r="R25" s="39"/>
      <c r="S25" s="39"/>
      <c r="T25" s="39"/>
      <c r="U25" s="39"/>
      <c r="V25" s="39"/>
      <c r="W25" s="39"/>
      <c r="X25" s="39"/>
    </row>
    <row r="26" spans="1:24" hidden="1" outlineLevel="1" x14ac:dyDescent="0.2">
      <c r="A26" s="5" t="s">
        <v>23</v>
      </c>
      <c r="B26" s="5" t="s">
        <v>24</v>
      </c>
      <c r="C26" s="7">
        <f>932</f>
        <v>932</v>
      </c>
      <c r="D26" s="1">
        <v>1454</v>
      </c>
      <c r="E26" s="13" t="s">
        <v>25</v>
      </c>
      <c r="F26" s="14"/>
      <c r="G26" s="7">
        <v>1518</v>
      </c>
      <c r="H26" s="7">
        <v>1583</v>
      </c>
      <c r="I26" s="39">
        <v>1729</v>
      </c>
      <c r="J26" s="39">
        <v>1594</v>
      </c>
      <c r="K26" s="39">
        <v>1500</v>
      </c>
      <c r="L26" s="39">
        <v>1530</v>
      </c>
      <c r="M26" s="39">
        <v>1598</v>
      </c>
      <c r="N26" s="39">
        <v>1758</v>
      </c>
      <c r="O26" s="39">
        <v>1774</v>
      </c>
      <c r="P26" s="39">
        <v>1720</v>
      </c>
      <c r="Q26" s="39"/>
      <c r="R26" s="39"/>
      <c r="S26" s="39"/>
      <c r="T26" s="39"/>
      <c r="U26" s="39"/>
      <c r="V26" s="39"/>
      <c r="W26" s="39"/>
      <c r="X26" s="39"/>
    </row>
    <row r="27" spans="1:24" hidden="1" outlineLevel="1" x14ac:dyDescent="0.2">
      <c r="A27" s="5" t="s">
        <v>26</v>
      </c>
      <c r="B27" s="5" t="s">
        <v>27</v>
      </c>
      <c r="C27" s="7">
        <f>359</f>
        <v>359</v>
      </c>
      <c r="D27" s="15">
        <v>0</v>
      </c>
      <c r="E27" s="13" t="s">
        <v>28</v>
      </c>
      <c r="F27" s="14"/>
      <c r="G27" s="7">
        <v>0</v>
      </c>
      <c r="H27" s="7">
        <v>0</v>
      </c>
      <c r="I27" s="39">
        <v>0</v>
      </c>
      <c r="J27" s="39">
        <v>0</v>
      </c>
      <c r="K27" s="39" t="s">
        <v>298</v>
      </c>
      <c r="L27" s="39" t="s">
        <v>298</v>
      </c>
      <c r="M27" s="39" t="s">
        <v>298</v>
      </c>
      <c r="N27" s="39" t="s">
        <v>298</v>
      </c>
      <c r="O27" s="39"/>
      <c r="P27" s="39"/>
      <c r="Q27" s="39"/>
      <c r="R27" s="39"/>
      <c r="S27" s="39"/>
      <c r="T27" s="39"/>
      <c r="U27" s="39"/>
      <c r="V27" s="39"/>
      <c r="W27" s="39"/>
      <c r="X27" s="39"/>
    </row>
    <row r="28" spans="1:24" hidden="1" outlineLevel="1" x14ac:dyDescent="0.2">
      <c r="A28" s="5" t="s">
        <v>29</v>
      </c>
      <c r="B28" s="5" t="s">
        <v>30</v>
      </c>
      <c r="C28" s="7">
        <f>227</f>
        <v>227</v>
      </c>
      <c r="D28" s="1">
        <v>174</v>
      </c>
      <c r="E28" s="13" t="s">
        <v>31</v>
      </c>
      <c r="F28" s="14"/>
      <c r="G28" s="7">
        <v>176</v>
      </c>
      <c r="H28" s="7">
        <v>246</v>
      </c>
      <c r="I28" s="39">
        <v>204</v>
      </c>
      <c r="J28" s="39">
        <v>178</v>
      </c>
      <c r="K28" s="39">
        <v>184</v>
      </c>
      <c r="L28" s="39">
        <v>249</v>
      </c>
      <c r="M28" s="39">
        <v>156</v>
      </c>
      <c r="N28" s="39">
        <v>237</v>
      </c>
      <c r="O28" s="39">
        <v>216</v>
      </c>
      <c r="P28" s="39" t="s">
        <v>298</v>
      </c>
      <c r="Q28" s="39"/>
      <c r="R28" s="39"/>
      <c r="S28" s="39"/>
      <c r="T28" s="39"/>
      <c r="U28" s="39"/>
      <c r="V28" s="39"/>
      <c r="W28" s="39"/>
      <c r="X28" s="39"/>
    </row>
    <row r="29" spans="1:24" hidden="1" outlineLevel="1" x14ac:dyDescent="0.2">
      <c r="A29" s="5" t="s">
        <v>32</v>
      </c>
      <c r="B29" s="5" t="s">
        <v>33</v>
      </c>
      <c r="C29" s="7">
        <f>72</f>
        <v>72</v>
      </c>
      <c r="D29" s="1">
        <v>54</v>
      </c>
      <c r="E29" s="13" t="s">
        <v>34</v>
      </c>
      <c r="F29" s="14"/>
      <c r="G29" s="7">
        <v>58</v>
      </c>
      <c r="H29" s="7">
        <v>60</v>
      </c>
      <c r="I29" s="39">
        <v>91</v>
      </c>
      <c r="J29" s="39">
        <v>68</v>
      </c>
      <c r="K29" s="39">
        <v>67</v>
      </c>
      <c r="L29" s="39">
        <v>94</v>
      </c>
      <c r="M29" s="39">
        <v>67</v>
      </c>
      <c r="N29" s="39">
        <v>68</v>
      </c>
      <c r="O29" s="39">
        <v>78</v>
      </c>
      <c r="P29" s="39">
        <v>134</v>
      </c>
      <c r="Q29" s="39"/>
      <c r="R29" s="39"/>
      <c r="S29" s="39"/>
      <c r="T29" s="39"/>
      <c r="U29" s="39"/>
      <c r="V29" s="39"/>
      <c r="W29" s="39"/>
      <c r="X29" s="39"/>
    </row>
    <row r="30" spans="1:24" hidden="1" outlineLevel="1" x14ac:dyDescent="0.2">
      <c r="A30" s="5" t="s">
        <v>35</v>
      </c>
      <c r="B30" s="5" t="s">
        <v>36</v>
      </c>
      <c r="C30" s="5"/>
      <c r="D30" s="1"/>
      <c r="E30" s="13" t="s">
        <v>37</v>
      </c>
      <c r="F30" s="14"/>
      <c r="G30" s="7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</row>
    <row r="31" spans="1:24" hidden="1" outlineLevel="1" x14ac:dyDescent="0.2">
      <c r="A31" s="5" t="s">
        <v>38</v>
      </c>
      <c r="B31" s="5" t="s">
        <v>39</v>
      </c>
      <c r="C31" s="7">
        <f>13879</f>
        <v>13879</v>
      </c>
      <c r="D31" s="1">
        <v>10978</v>
      </c>
      <c r="E31" s="16" t="s">
        <v>40</v>
      </c>
      <c r="F31" s="14"/>
      <c r="G31" s="7">
        <v>10485</v>
      </c>
      <c r="H31" s="7">
        <v>11794</v>
      </c>
      <c r="I31" s="39">
        <v>12734</v>
      </c>
      <c r="J31" s="39">
        <v>14081</v>
      </c>
      <c r="K31" s="39">
        <v>13182</v>
      </c>
      <c r="L31" s="39">
        <v>14052</v>
      </c>
      <c r="M31" s="39">
        <v>11970</v>
      </c>
      <c r="N31" s="39">
        <v>12362</v>
      </c>
      <c r="O31" s="39">
        <v>11971</v>
      </c>
      <c r="P31" s="39">
        <f>10769+1903</f>
        <v>12672</v>
      </c>
      <c r="Q31" s="39"/>
      <c r="R31" s="39"/>
      <c r="S31" s="39"/>
      <c r="T31" s="39"/>
      <c r="U31" s="39"/>
      <c r="V31" s="39"/>
      <c r="W31" s="39"/>
      <c r="X31" s="39"/>
    </row>
    <row r="32" spans="1:24" hidden="1" outlineLevel="1" x14ac:dyDescent="0.2">
      <c r="A32" s="5" t="s">
        <v>41</v>
      </c>
      <c r="B32" s="5" t="s">
        <v>42</v>
      </c>
      <c r="C32" s="7">
        <f>178</f>
        <v>178</v>
      </c>
      <c r="D32" s="1">
        <v>158</v>
      </c>
      <c r="E32" s="13" t="s">
        <v>43</v>
      </c>
      <c r="F32" s="14"/>
      <c r="G32" s="7">
        <v>119</v>
      </c>
      <c r="H32" s="7">
        <v>112</v>
      </c>
      <c r="I32" s="39">
        <v>99</v>
      </c>
      <c r="J32" s="39">
        <v>94</v>
      </c>
      <c r="K32" s="39" t="s">
        <v>297</v>
      </c>
      <c r="L32" s="39" t="s">
        <v>297</v>
      </c>
      <c r="M32" s="39" t="s">
        <v>297</v>
      </c>
      <c r="N32" s="39" t="s">
        <v>297</v>
      </c>
      <c r="O32" s="39"/>
      <c r="P32" s="39"/>
      <c r="Q32" s="39"/>
      <c r="R32" s="39"/>
      <c r="S32" s="39"/>
      <c r="T32" s="39"/>
      <c r="U32" s="39"/>
      <c r="V32" s="39"/>
      <c r="W32" s="39"/>
      <c r="X32" s="39"/>
    </row>
    <row r="33" spans="1:24" hidden="1" outlineLevel="1" x14ac:dyDescent="0.2">
      <c r="A33" s="5" t="s">
        <v>44</v>
      </c>
      <c r="B33" s="5" t="s">
        <v>45</v>
      </c>
      <c r="C33" s="7">
        <f>4140</f>
        <v>4140</v>
      </c>
      <c r="D33" s="1">
        <v>3520</v>
      </c>
      <c r="E33" s="16">
        <v>1994</v>
      </c>
      <c r="F33" s="14"/>
      <c r="G33" s="7">
        <v>3611</v>
      </c>
      <c r="H33" s="7">
        <v>3110</v>
      </c>
      <c r="I33" s="39">
        <v>3278</v>
      </c>
      <c r="J33" s="39">
        <v>3106</v>
      </c>
      <c r="K33" s="39">
        <v>3237</v>
      </c>
      <c r="L33" s="39">
        <v>3307</v>
      </c>
      <c r="M33" s="39">
        <v>3202</v>
      </c>
      <c r="N33" s="39">
        <v>3238</v>
      </c>
      <c r="O33" s="39">
        <v>2998</v>
      </c>
      <c r="P33" s="39">
        <v>3073</v>
      </c>
      <c r="Q33" s="39"/>
      <c r="R33" s="39"/>
      <c r="S33" s="39"/>
      <c r="T33" s="39"/>
      <c r="U33" s="39"/>
      <c r="V33" s="39"/>
      <c r="W33" s="39"/>
      <c r="X33" s="39"/>
    </row>
    <row r="34" spans="1:24" hidden="1" outlineLevel="1" x14ac:dyDescent="0.2">
      <c r="A34" s="5" t="s">
        <v>46</v>
      </c>
      <c r="B34" s="9" t="s">
        <v>47</v>
      </c>
      <c r="C34" s="7">
        <f>69</f>
        <v>69</v>
      </c>
      <c r="D34" s="1">
        <v>22</v>
      </c>
      <c r="E34" s="17" t="s">
        <v>48</v>
      </c>
      <c r="F34" s="18"/>
      <c r="G34" s="7">
        <v>27</v>
      </c>
      <c r="H34" s="7">
        <v>35</v>
      </c>
      <c r="I34" s="39">
        <v>26</v>
      </c>
      <c r="J34" s="39">
        <v>12</v>
      </c>
      <c r="K34" s="39">
        <v>5</v>
      </c>
      <c r="L34" s="39">
        <v>20</v>
      </c>
      <c r="M34" s="39">
        <v>18</v>
      </c>
      <c r="N34" s="39">
        <v>8</v>
      </c>
      <c r="O34" s="39">
        <v>8</v>
      </c>
      <c r="P34" s="39">
        <v>81</v>
      </c>
      <c r="Q34" s="39"/>
      <c r="R34" s="39"/>
      <c r="S34" s="39"/>
      <c r="T34" s="39"/>
      <c r="U34" s="39"/>
      <c r="V34" s="39"/>
      <c r="W34" s="39"/>
      <c r="X34" s="39"/>
    </row>
    <row r="35" spans="1:24" hidden="1" outlineLevel="1" x14ac:dyDescent="0.2">
      <c r="A35" s="5" t="s">
        <v>49</v>
      </c>
      <c r="B35" s="5" t="s">
        <v>50</v>
      </c>
      <c r="C35" s="7">
        <f>5528</f>
        <v>5528</v>
      </c>
      <c r="D35" s="1">
        <v>5108</v>
      </c>
      <c r="E35" s="16" t="s">
        <v>51</v>
      </c>
      <c r="F35" s="18"/>
      <c r="G35" s="7">
        <v>7065</v>
      </c>
      <c r="H35" s="7">
        <v>5618</v>
      </c>
      <c r="I35" s="39">
        <v>6043</v>
      </c>
      <c r="J35" s="39">
        <v>5281</v>
      </c>
      <c r="K35" s="39">
        <v>5398</v>
      </c>
      <c r="L35" s="39">
        <v>4817</v>
      </c>
      <c r="M35" s="39">
        <v>4716</v>
      </c>
      <c r="N35" s="39">
        <v>5112</v>
      </c>
      <c r="O35" s="39">
        <v>4895</v>
      </c>
      <c r="P35" s="39">
        <v>4715</v>
      </c>
      <c r="Q35" s="39"/>
      <c r="R35" s="39"/>
      <c r="S35" s="39"/>
      <c r="T35" s="39"/>
      <c r="U35" s="39"/>
      <c r="V35" s="39"/>
      <c r="W35" s="39"/>
      <c r="X35" s="39"/>
    </row>
    <row r="36" spans="1:24" hidden="1" outlineLevel="1" x14ac:dyDescent="0.2">
      <c r="A36" s="5" t="s">
        <v>52</v>
      </c>
      <c r="B36" s="5" t="s">
        <v>53</v>
      </c>
      <c r="C36" s="5"/>
      <c r="D36" s="1"/>
      <c r="E36" s="19"/>
      <c r="F36" s="20"/>
      <c r="G36" s="7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</row>
    <row r="37" spans="1:24" hidden="1" outlineLevel="1" x14ac:dyDescent="0.2">
      <c r="A37" s="5"/>
      <c r="B37" s="5" t="s">
        <v>54</v>
      </c>
      <c r="C37" s="7">
        <f>23574</f>
        <v>23574</v>
      </c>
      <c r="D37" s="1">
        <v>24603</v>
      </c>
      <c r="E37" s="13"/>
      <c r="F37" s="14"/>
      <c r="G37" s="7">
        <v>24305</v>
      </c>
      <c r="H37" s="7">
        <v>24855</v>
      </c>
      <c r="I37" s="39">
        <v>26782</v>
      </c>
      <c r="J37" s="39">
        <v>26841</v>
      </c>
      <c r="K37" s="39">
        <v>27920</v>
      </c>
      <c r="L37" s="39">
        <v>23902</v>
      </c>
      <c r="M37" s="39">
        <v>21693</v>
      </c>
      <c r="N37" s="39">
        <v>22806</v>
      </c>
      <c r="O37" s="39">
        <v>27228</v>
      </c>
      <c r="P37" s="39">
        <f>P13-P31-P33-P34-P35</f>
        <v>30624</v>
      </c>
      <c r="Q37" s="39"/>
      <c r="R37" s="39"/>
      <c r="S37" s="39"/>
      <c r="T37" s="39"/>
      <c r="U37" s="39"/>
      <c r="V37" s="39"/>
      <c r="W37" s="39"/>
      <c r="X37" s="39"/>
    </row>
    <row r="38" spans="1:24" collapsed="1" x14ac:dyDescent="0.2">
      <c r="A38" s="5" t="s">
        <v>55</v>
      </c>
      <c r="B38" s="5" t="s">
        <v>56</v>
      </c>
      <c r="C38" s="5"/>
      <c r="D38" s="1"/>
      <c r="E38" s="13"/>
      <c r="F38" s="14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</row>
    <row r="39" spans="1:24" x14ac:dyDescent="0.2">
      <c r="A39" s="5"/>
      <c r="B39" s="5" t="s">
        <v>57</v>
      </c>
      <c r="C39" s="22">
        <f>4.2</f>
        <v>4.2</v>
      </c>
      <c r="D39" s="23">
        <v>4.2</v>
      </c>
      <c r="E39" s="92"/>
      <c r="F39" s="14"/>
      <c r="G39" s="5">
        <v>4.9000000000000004</v>
      </c>
      <c r="H39" s="24">
        <v>4.5999999999999996</v>
      </c>
      <c r="I39" s="40">
        <v>4.8</v>
      </c>
      <c r="J39" s="40">
        <v>4.7</v>
      </c>
      <c r="K39" s="40">
        <v>4.3</v>
      </c>
      <c r="L39" s="40">
        <v>4.4000000000000004</v>
      </c>
      <c r="M39" s="40">
        <v>4.3</v>
      </c>
      <c r="N39" s="40">
        <v>4.5999999999999996</v>
      </c>
      <c r="O39" s="40">
        <v>4.5</v>
      </c>
      <c r="P39" s="40">
        <v>4.5</v>
      </c>
      <c r="Q39" s="40">
        <v>4.3</v>
      </c>
      <c r="R39" s="40">
        <v>4.2</v>
      </c>
      <c r="S39" s="40">
        <v>4.3</v>
      </c>
      <c r="T39" s="40">
        <v>4.2</v>
      </c>
      <c r="U39" s="40">
        <v>4.5</v>
      </c>
      <c r="V39" s="40">
        <v>4.8</v>
      </c>
      <c r="W39" s="40">
        <v>4.8</v>
      </c>
      <c r="X39" s="40">
        <v>4.9000000000000004</v>
      </c>
    </row>
    <row r="40" spans="1:24" x14ac:dyDescent="0.2">
      <c r="A40" s="5"/>
      <c r="B40" s="5"/>
      <c r="C40" s="22"/>
      <c r="D40" s="23"/>
      <c r="E40" s="92"/>
      <c r="F40" s="14"/>
      <c r="G40" s="5"/>
      <c r="H40" s="24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</row>
    <row r="41" spans="1:24" x14ac:dyDescent="0.2">
      <c r="A41" s="5" t="s">
        <v>58</v>
      </c>
      <c r="B41" s="5" t="s">
        <v>364</v>
      </c>
      <c r="C41" s="7">
        <f>2214</f>
        <v>2214</v>
      </c>
      <c r="D41" s="1">
        <v>1126</v>
      </c>
      <c r="E41" s="25">
        <v>905</v>
      </c>
      <c r="F41" s="26" t="s">
        <v>7</v>
      </c>
      <c r="G41" s="7">
        <v>2815</v>
      </c>
      <c r="H41" s="7">
        <v>1565</v>
      </c>
      <c r="I41" s="39">
        <v>900</v>
      </c>
      <c r="J41" s="39">
        <v>821</v>
      </c>
      <c r="K41" s="39">
        <v>546</v>
      </c>
      <c r="L41" s="39">
        <v>473</v>
      </c>
      <c r="M41" s="39">
        <v>447</v>
      </c>
      <c r="N41" s="39">
        <v>481</v>
      </c>
      <c r="O41" s="39">
        <v>444</v>
      </c>
      <c r="P41" s="39">
        <v>374</v>
      </c>
      <c r="Q41" s="39">
        <v>414</v>
      </c>
      <c r="R41" s="39">
        <v>372</v>
      </c>
      <c r="S41" s="39">
        <v>371</v>
      </c>
      <c r="T41" s="39">
        <v>386</v>
      </c>
      <c r="U41" s="39">
        <v>416</v>
      </c>
      <c r="V41" s="39">
        <v>463</v>
      </c>
      <c r="W41" s="39">
        <v>385</v>
      </c>
      <c r="X41" s="39">
        <v>393</v>
      </c>
    </row>
    <row r="42" spans="1:24" x14ac:dyDescent="0.2">
      <c r="A42" s="5"/>
      <c r="B42" s="5"/>
      <c r="C42" s="5"/>
      <c r="D42" s="1"/>
      <c r="E42" s="92"/>
      <c r="F42" s="12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</row>
    <row r="43" spans="1:24" x14ac:dyDescent="0.2">
      <c r="A43" s="6" t="s">
        <v>59</v>
      </c>
      <c r="B43" s="6" t="s">
        <v>672</v>
      </c>
      <c r="C43" s="5"/>
      <c r="D43" s="1"/>
      <c r="E43" s="7"/>
      <c r="F43" s="27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</row>
    <row r="44" spans="1:24" hidden="1" outlineLevel="1" x14ac:dyDescent="0.2">
      <c r="A44" s="93" t="s">
        <v>60</v>
      </c>
      <c r="B44" s="69" t="s">
        <v>673</v>
      </c>
      <c r="C44" s="71"/>
      <c r="D44" s="72"/>
      <c r="E44" s="71"/>
      <c r="F44" s="73"/>
      <c r="G44" s="71"/>
      <c r="H44" s="74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</row>
    <row r="45" spans="1:24" hidden="1" outlineLevel="1" x14ac:dyDescent="0.2">
      <c r="A45" s="93" t="s">
        <v>627</v>
      </c>
      <c r="B45" s="70" t="s">
        <v>632</v>
      </c>
      <c r="C45" s="71"/>
      <c r="D45" s="72"/>
      <c r="E45" s="71"/>
      <c r="F45" s="73"/>
      <c r="G45" s="71"/>
      <c r="H45" s="74"/>
      <c r="I45" s="51"/>
      <c r="J45" s="51"/>
      <c r="K45" s="51"/>
      <c r="L45" s="51"/>
      <c r="M45" s="51"/>
      <c r="N45" s="51"/>
      <c r="O45" s="51"/>
      <c r="P45" s="51"/>
      <c r="Q45" s="51"/>
      <c r="R45" s="51">
        <v>13952</v>
      </c>
      <c r="S45" s="51">
        <v>13442</v>
      </c>
      <c r="T45" s="51">
        <v>13795</v>
      </c>
      <c r="U45" s="51">
        <f>U49+U53</f>
        <v>14375</v>
      </c>
      <c r="V45" s="51"/>
    </row>
    <row r="46" spans="1:24" hidden="1" outlineLevel="1" x14ac:dyDescent="0.2">
      <c r="A46" s="93" t="s">
        <v>628</v>
      </c>
      <c r="B46" s="70" t="s">
        <v>629</v>
      </c>
      <c r="C46" s="71">
        <f>11559</f>
        <v>11559</v>
      </c>
      <c r="D46" s="72">
        <f>10994</f>
        <v>10994</v>
      </c>
      <c r="E46" s="71">
        <v>11330</v>
      </c>
      <c r="F46" s="73"/>
      <c r="G46" s="71">
        <v>11260</v>
      </c>
      <c r="H46" s="74">
        <v>10790</v>
      </c>
      <c r="I46" s="51">
        <v>11999</v>
      </c>
      <c r="J46" s="51">
        <v>12083</v>
      </c>
      <c r="K46" s="51">
        <v>11879</v>
      </c>
      <c r="L46" s="51">
        <v>12556</v>
      </c>
      <c r="M46" s="51">
        <v>12597</v>
      </c>
      <c r="N46" s="51">
        <v>13086</v>
      </c>
      <c r="O46" s="51">
        <v>13505</v>
      </c>
      <c r="P46" s="51">
        <v>13743</v>
      </c>
      <c r="Q46" s="51">
        <v>14296</v>
      </c>
      <c r="R46" s="51">
        <v>14229</v>
      </c>
      <c r="S46" s="51">
        <v>14129</v>
      </c>
      <c r="T46" s="51">
        <v>14152</v>
      </c>
      <c r="U46" s="51">
        <f>U50+U54</f>
        <v>13885</v>
      </c>
      <c r="V46" s="51"/>
    </row>
    <row r="47" spans="1:24" hidden="1" outlineLevel="1" x14ac:dyDescent="0.2">
      <c r="A47" s="93" t="s">
        <v>630</v>
      </c>
      <c r="B47" s="70" t="s">
        <v>631</v>
      </c>
      <c r="C47" s="71">
        <f>9875</f>
        <v>9875</v>
      </c>
      <c r="D47" s="72">
        <f>10079</f>
        <v>10079</v>
      </c>
      <c r="E47" s="71">
        <v>10672</v>
      </c>
      <c r="F47" s="73"/>
      <c r="G47" s="71">
        <v>9785</v>
      </c>
      <c r="H47" s="74">
        <v>10446</v>
      </c>
      <c r="I47" s="51">
        <v>9668</v>
      </c>
      <c r="J47" s="51">
        <v>9863</v>
      </c>
      <c r="K47" s="51">
        <v>11325</v>
      </c>
      <c r="L47" s="51">
        <v>11446</v>
      </c>
      <c r="M47" s="51">
        <v>12478</v>
      </c>
      <c r="N47" s="51">
        <v>12682</v>
      </c>
      <c r="O47" s="51">
        <v>12211</v>
      </c>
      <c r="P47" s="51">
        <v>11620</v>
      </c>
      <c r="Q47" s="51">
        <v>11532</v>
      </c>
      <c r="R47" s="51">
        <v>11252</v>
      </c>
      <c r="S47" s="51">
        <v>10565</v>
      </c>
      <c r="T47" s="51">
        <v>10208</v>
      </c>
      <c r="U47" s="51">
        <f>U55</f>
        <v>10694</v>
      </c>
      <c r="V47" s="51"/>
    </row>
    <row r="48" spans="1:24" hidden="1" outlineLevel="1" x14ac:dyDescent="0.2">
      <c r="A48" s="93" t="s">
        <v>62</v>
      </c>
      <c r="B48" s="70" t="s">
        <v>633</v>
      </c>
      <c r="C48" s="71"/>
      <c r="D48" s="72"/>
      <c r="E48" s="71"/>
      <c r="F48" s="73"/>
      <c r="G48" s="71"/>
      <c r="H48" s="74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</row>
    <row r="49" spans="1:24" hidden="1" outlineLevel="1" x14ac:dyDescent="0.2">
      <c r="A49" s="93" t="s">
        <v>634</v>
      </c>
      <c r="B49" s="70" t="s">
        <v>674</v>
      </c>
      <c r="C49" s="71"/>
      <c r="D49" s="72"/>
      <c r="E49" s="71"/>
      <c r="F49" s="73"/>
      <c r="G49" s="71"/>
      <c r="H49" s="74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>
        <v>9029</v>
      </c>
      <c r="V49" s="51"/>
    </row>
    <row r="50" spans="1:24" hidden="1" outlineLevel="1" x14ac:dyDescent="0.2">
      <c r="A50" s="93" t="s">
        <v>635</v>
      </c>
      <c r="B50" s="70" t="s">
        <v>675</v>
      </c>
      <c r="C50" s="71"/>
      <c r="D50" s="72"/>
      <c r="E50" s="71"/>
      <c r="F50" s="73"/>
      <c r="G50" s="71"/>
      <c r="H50" s="74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>
        <v>9217</v>
      </c>
      <c r="V50" s="51"/>
    </row>
    <row r="51" spans="1:24" hidden="1" outlineLevel="1" x14ac:dyDescent="0.2">
      <c r="A51" s="93" t="s">
        <v>636</v>
      </c>
      <c r="B51" s="70" t="s">
        <v>637</v>
      </c>
      <c r="C51" s="71"/>
      <c r="D51" s="72"/>
      <c r="E51" s="71"/>
      <c r="F51" s="73"/>
      <c r="G51" s="71"/>
      <c r="H51" s="74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>
        <v>10017</v>
      </c>
      <c r="V51" s="51"/>
    </row>
    <row r="52" spans="1:24" hidden="1" outlineLevel="1" x14ac:dyDescent="0.2">
      <c r="A52" s="93" t="s">
        <v>63</v>
      </c>
      <c r="B52" s="70" t="s">
        <v>638</v>
      </c>
      <c r="C52" s="71"/>
      <c r="D52" s="72"/>
      <c r="E52" s="71"/>
      <c r="F52" s="73"/>
      <c r="G52" s="71"/>
      <c r="H52" s="74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</row>
    <row r="53" spans="1:24" hidden="1" outlineLevel="1" x14ac:dyDescent="0.2">
      <c r="A53" s="93" t="s">
        <v>639</v>
      </c>
      <c r="B53" s="70" t="s">
        <v>676</v>
      </c>
      <c r="C53" s="71"/>
      <c r="D53" s="72"/>
      <c r="E53" s="71"/>
      <c r="F53" s="73"/>
      <c r="G53" s="71"/>
      <c r="H53" s="74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>
        <v>5346</v>
      </c>
      <c r="V53" s="51"/>
    </row>
    <row r="54" spans="1:24" hidden="1" outlineLevel="1" x14ac:dyDescent="0.2">
      <c r="A54" s="93" t="s">
        <v>640</v>
      </c>
      <c r="B54" s="70" t="s">
        <v>677</v>
      </c>
      <c r="C54" s="71"/>
      <c r="D54" s="72"/>
      <c r="E54" s="71"/>
      <c r="F54" s="73"/>
      <c r="G54" s="71"/>
      <c r="H54" s="74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>
        <v>4668</v>
      </c>
      <c r="V54" s="51"/>
    </row>
    <row r="55" spans="1:24" hidden="1" outlineLevel="1" x14ac:dyDescent="0.2">
      <c r="A55" s="93" t="s">
        <v>641</v>
      </c>
      <c r="B55" s="70" t="s">
        <v>631</v>
      </c>
      <c r="C55" s="71"/>
      <c r="D55" s="72"/>
      <c r="E55" s="71"/>
      <c r="F55" s="73"/>
      <c r="G55" s="71"/>
      <c r="H55" s="74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>
        <v>10694</v>
      </c>
      <c r="V55" s="51"/>
    </row>
    <row r="56" spans="1:24" collapsed="1" x14ac:dyDescent="0.2">
      <c r="A56" s="5" t="s">
        <v>60</v>
      </c>
      <c r="B56" s="5" t="s">
        <v>61</v>
      </c>
      <c r="C56" s="7">
        <f>11510</f>
        <v>11510</v>
      </c>
      <c r="D56" s="1">
        <f>11321-662</f>
        <v>10659</v>
      </c>
      <c r="E56" s="7">
        <v>11603</v>
      </c>
      <c r="F56" s="27"/>
      <c r="G56" s="7">
        <f>11046-712</f>
        <v>10334</v>
      </c>
      <c r="H56" s="15">
        <f>11687-232</f>
        <v>11455</v>
      </c>
      <c r="I56" s="39">
        <v>11253</v>
      </c>
      <c r="J56" s="39">
        <v>12265</v>
      </c>
      <c r="K56" s="39">
        <v>13444</v>
      </c>
      <c r="L56" s="39">
        <v>12672</v>
      </c>
      <c r="M56" s="39">
        <v>13637</v>
      </c>
      <c r="N56" s="39">
        <v>13290</v>
      </c>
      <c r="O56" s="39">
        <v>13034</v>
      </c>
      <c r="P56" s="39">
        <v>13152</v>
      </c>
      <c r="Q56" s="39">
        <v>13966</v>
      </c>
      <c r="R56" s="39">
        <v>13952</v>
      </c>
      <c r="S56" s="39">
        <v>13442</v>
      </c>
      <c r="T56" s="39">
        <v>13795</v>
      </c>
      <c r="U56" s="39">
        <v>14375</v>
      </c>
      <c r="V56" s="51">
        <v>16627</v>
      </c>
      <c r="W56" s="51">
        <v>16699</v>
      </c>
      <c r="X56" s="51">
        <v>15986</v>
      </c>
    </row>
    <row r="57" spans="1:24" x14ac:dyDescent="0.2">
      <c r="A57" s="5" t="s">
        <v>62</v>
      </c>
      <c r="B57" s="5" t="s">
        <v>9</v>
      </c>
      <c r="C57" s="7">
        <f>11559</f>
        <v>11559</v>
      </c>
      <c r="D57" s="1">
        <f>10994</f>
        <v>10994</v>
      </c>
      <c r="E57" s="7">
        <v>11330</v>
      </c>
      <c r="F57" s="27"/>
      <c r="G57" s="7">
        <v>11260</v>
      </c>
      <c r="H57" s="15">
        <v>10790</v>
      </c>
      <c r="I57" s="39">
        <v>11999</v>
      </c>
      <c r="J57" s="39">
        <v>12083</v>
      </c>
      <c r="K57" s="39">
        <v>11879</v>
      </c>
      <c r="L57" s="39">
        <v>12556</v>
      </c>
      <c r="M57" s="39">
        <v>12597</v>
      </c>
      <c r="N57" s="39">
        <v>13086</v>
      </c>
      <c r="O57" s="39">
        <v>13505</v>
      </c>
      <c r="P57" s="39">
        <v>13743</v>
      </c>
      <c r="Q57" s="39">
        <v>14296</v>
      </c>
      <c r="R57" s="39">
        <v>14229</v>
      </c>
      <c r="S57" s="39">
        <v>14129</v>
      </c>
      <c r="T57" s="39">
        <v>14152</v>
      </c>
      <c r="U57" s="39">
        <v>13885</v>
      </c>
      <c r="V57" s="51">
        <v>15671</v>
      </c>
      <c r="W57" s="51">
        <v>17114</v>
      </c>
      <c r="X57" s="51">
        <v>16346</v>
      </c>
    </row>
    <row r="58" spans="1:24" x14ac:dyDescent="0.2">
      <c r="A58" s="5" t="s">
        <v>63</v>
      </c>
      <c r="B58" s="5" t="s">
        <v>64</v>
      </c>
      <c r="C58" s="7">
        <f>9875</f>
        <v>9875</v>
      </c>
      <c r="D58" s="1">
        <f>10079</f>
        <v>10079</v>
      </c>
      <c r="E58" s="7">
        <v>10672</v>
      </c>
      <c r="F58" s="27"/>
      <c r="G58" s="7">
        <v>9785</v>
      </c>
      <c r="H58" s="15">
        <v>10446</v>
      </c>
      <c r="I58" s="39">
        <v>9668</v>
      </c>
      <c r="J58" s="39">
        <v>9863</v>
      </c>
      <c r="K58" s="39">
        <v>11325</v>
      </c>
      <c r="L58" s="39">
        <v>11446</v>
      </c>
      <c r="M58" s="39">
        <v>12478</v>
      </c>
      <c r="N58" s="39">
        <v>12682</v>
      </c>
      <c r="O58" s="39">
        <v>12211</v>
      </c>
      <c r="P58" s="39">
        <v>11620</v>
      </c>
      <c r="Q58" s="39">
        <v>11532</v>
      </c>
      <c r="R58" s="39">
        <v>11252</v>
      </c>
      <c r="S58" s="39">
        <v>10565</v>
      </c>
      <c r="T58" s="39">
        <v>10208</v>
      </c>
      <c r="U58" s="39">
        <v>10694</v>
      </c>
      <c r="V58" s="51">
        <v>11651</v>
      </c>
      <c r="W58" s="51">
        <v>11061</v>
      </c>
      <c r="X58" s="51">
        <v>10665</v>
      </c>
    </row>
    <row r="59" spans="1:24" hidden="1" outlineLevel="1" x14ac:dyDescent="0.2">
      <c r="A59" s="5" t="s">
        <v>65</v>
      </c>
      <c r="B59" s="5" t="s">
        <v>678</v>
      </c>
      <c r="C59" s="5"/>
      <c r="D59" s="1"/>
      <c r="E59" s="7"/>
      <c r="F59" s="27"/>
      <c r="G59" s="7"/>
      <c r="H59" s="15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51"/>
    </row>
    <row r="60" spans="1:24" hidden="1" outlineLevel="1" x14ac:dyDescent="0.2">
      <c r="A60" s="5" t="s">
        <v>66</v>
      </c>
      <c r="B60" s="5" t="s">
        <v>386</v>
      </c>
      <c r="C60" s="7">
        <f>5818</f>
        <v>5818</v>
      </c>
      <c r="D60" s="1">
        <f>5756</f>
        <v>5756</v>
      </c>
      <c r="E60" s="7">
        <v>6084</v>
      </c>
      <c r="F60" s="27"/>
      <c r="G60" s="7">
        <v>6189</v>
      </c>
      <c r="H60" s="15">
        <v>5788</v>
      </c>
      <c r="I60" s="39">
        <v>6672</v>
      </c>
      <c r="J60" s="39">
        <v>6523</v>
      </c>
      <c r="K60" s="39">
        <v>5528</v>
      </c>
      <c r="L60" s="39">
        <v>6054</v>
      </c>
      <c r="M60" s="39">
        <v>5832</v>
      </c>
      <c r="N60" s="39">
        <v>6247</v>
      </c>
      <c r="O60" s="39">
        <v>6584</v>
      </c>
      <c r="P60" s="39">
        <v>6324</v>
      </c>
      <c r="Q60" s="39">
        <v>6794</v>
      </c>
      <c r="R60" s="39">
        <v>6147</v>
      </c>
      <c r="S60" s="39">
        <v>5815</v>
      </c>
      <c r="T60" s="39">
        <v>5812</v>
      </c>
      <c r="U60" s="39">
        <v>3614</v>
      </c>
      <c r="V60" s="51"/>
    </row>
    <row r="61" spans="1:24" hidden="1" outlineLevel="1" x14ac:dyDescent="0.2">
      <c r="A61" s="5" t="s">
        <v>67</v>
      </c>
      <c r="B61" s="5" t="s">
        <v>387</v>
      </c>
      <c r="C61" s="7">
        <f>3</f>
        <v>3</v>
      </c>
      <c r="D61" s="1">
        <f>33</f>
        <v>33</v>
      </c>
      <c r="E61" s="7">
        <v>62</v>
      </c>
      <c r="F61" s="27"/>
      <c r="G61" s="7">
        <v>50</v>
      </c>
      <c r="H61" s="15">
        <v>49</v>
      </c>
      <c r="I61" s="39">
        <v>31</v>
      </c>
      <c r="J61" s="39">
        <v>23</v>
      </c>
      <c r="K61" s="39">
        <v>29</v>
      </c>
      <c r="L61" s="39">
        <v>51</v>
      </c>
      <c r="M61" s="39">
        <v>44</v>
      </c>
      <c r="N61" s="39">
        <v>32</v>
      </c>
      <c r="O61" s="39">
        <v>43</v>
      </c>
      <c r="P61" s="39">
        <v>57</v>
      </c>
      <c r="Q61" s="39">
        <v>52</v>
      </c>
      <c r="R61" s="39">
        <v>64</v>
      </c>
      <c r="S61" s="39">
        <v>27</v>
      </c>
      <c r="T61" s="39">
        <v>30</v>
      </c>
      <c r="U61" s="39">
        <v>13</v>
      </c>
      <c r="V61" s="51"/>
    </row>
    <row r="62" spans="1:24" hidden="1" outlineLevel="1" x14ac:dyDescent="0.2">
      <c r="A62" s="5" t="s">
        <v>68</v>
      </c>
      <c r="B62" s="5" t="s">
        <v>388</v>
      </c>
      <c r="C62" s="7">
        <f>617</f>
        <v>617</v>
      </c>
      <c r="D62" s="1">
        <f>588</f>
        <v>588</v>
      </c>
      <c r="E62" s="7">
        <v>653</v>
      </c>
      <c r="F62" s="27"/>
      <c r="G62" s="7">
        <v>585</v>
      </c>
      <c r="H62" s="15">
        <v>466</v>
      </c>
      <c r="I62" s="39">
        <v>482</v>
      </c>
      <c r="J62" s="39">
        <v>573</v>
      </c>
      <c r="K62" s="39">
        <v>435</v>
      </c>
      <c r="L62" s="39">
        <v>424</v>
      </c>
      <c r="M62" s="39">
        <v>370</v>
      </c>
      <c r="N62" s="39">
        <v>347</v>
      </c>
      <c r="O62" s="39">
        <v>452</v>
      </c>
      <c r="P62" s="39">
        <v>536</v>
      </c>
      <c r="Q62" s="39">
        <v>437</v>
      </c>
      <c r="R62" s="39">
        <v>332</v>
      </c>
      <c r="S62" s="39">
        <v>348</v>
      </c>
      <c r="T62" s="39">
        <v>304</v>
      </c>
      <c r="U62" s="39">
        <v>179</v>
      </c>
      <c r="V62" s="51"/>
    </row>
    <row r="63" spans="1:24" hidden="1" outlineLevel="1" x14ac:dyDescent="0.2">
      <c r="A63" s="5" t="s">
        <v>69</v>
      </c>
      <c r="B63" s="69" t="s">
        <v>389</v>
      </c>
      <c r="C63" s="7">
        <f>5055</f>
        <v>5055</v>
      </c>
      <c r="D63" s="1">
        <f>4577</f>
        <v>4577</v>
      </c>
      <c r="E63" s="7">
        <v>4501</v>
      </c>
      <c r="F63" s="27"/>
      <c r="G63" s="7">
        <v>4404</v>
      </c>
      <c r="H63" s="15">
        <v>4455</v>
      </c>
      <c r="I63" s="39">
        <v>4808</v>
      </c>
      <c r="J63" s="39">
        <v>4888</v>
      </c>
      <c r="K63" s="39">
        <v>5836</v>
      </c>
      <c r="L63" s="39">
        <v>5995</v>
      </c>
      <c r="M63" s="39">
        <v>6332</v>
      </c>
      <c r="N63" s="39">
        <v>6438</v>
      </c>
      <c r="O63" s="39">
        <v>6412</v>
      </c>
      <c r="P63" s="39">
        <v>6801</v>
      </c>
      <c r="Q63" s="39">
        <v>7843</v>
      </c>
      <c r="R63" s="39">
        <v>7299</v>
      </c>
      <c r="S63" s="39">
        <v>7389</v>
      </c>
      <c r="T63" s="39">
        <v>7425</v>
      </c>
      <c r="U63" s="51">
        <v>5000</v>
      </c>
      <c r="V63" s="51"/>
    </row>
    <row r="64" spans="1:24" hidden="1" outlineLevel="2" x14ac:dyDescent="0.2">
      <c r="A64" s="5" t="s">
        <v>70</v>
      </c>
      <c r="B64" s="5" t="s">
        <v>390</v>
      </c>
      <c r="C64" s="7">
        <f>66</f>
        <v>66</v>
      </c>
      <c r="D64" s="1">
        <f>40</f>
        <v>40</v>
      </c>
      <c r="E64" s="7">
        <v>30</v>
      </c>
      <c r="F64" s="27"/>
      <c r="G64" s="7">
        <v>32</v>
      </c>
      <c r="H64" s="15">
        <v>32</v>
      </c>
      <c r="I64" s="39">
        <v>10</v>
      </c>
      <c r="J64" s="39">
        <v>76</v>
      </c>
      <c r="K64" s="39">
        <v>51</v>
      </c>
      <c r="L64" s="39">
        <v>32</v>
      </c>
      <c r="M64" s="39">
        <v>19</v>
      </c>
      <c r="N64" s="39">
        <v>22</v>
      </c>
      <c r="O64" s="39">
        <v>14</v>
      </c>
      <c r="P64" s="39">
        <v>25</v>
      </c>
      <c r="Q64" s="39">
        <v>25</v>
      </c>
      <c r="R64" s="39" t="s">
        <v>329</v>
      </c>
      <c r="S64" s="39" t="s">
        <v>329</v>
      </c>
      <c r="T64" s="39"/>
      <c r="U64" s="39"/>
      <c r="V64" s="51"/>
    </row>
    <row r="65" spans="1:22" hidden="1" outlineLevel="2" x14ac:dyDescent="0.2">
      <c r="A65" s="55" t="s">
        <v>70</v>
      </c>
      <c r="B65" s="5" t="s">
        <v>391</v>
      </c>
      <c r="C65" s="7"/>
      <c r="D65" s="1"/>
      <c r="E65" s="7"/>
      <c r="F65" s="27"/>
      <c r="G65" s="7"/>
      <c r="H65" s="15"/>
      <c r="I65" s="39"/>
      <c r="J65" s="39"/>
      <c r="K65" s="39"/>
      <c r="L65" s="39"/>
      <c r="M65" s="39"/>
      <c r="N65" s="39"/>
      <c r="O65" s="39"/>
      <c r="P65" s="39"/>
      <c r="Q65" s="39"/>
      <c r="R65" s="39">
        <v>18</v>
      </c>
      <c r="S65" s="39">
        <v>30</v>
      </c>
      <c r="T65" s="66">
        <v>29</v>
      </c>
      <c r="U65" s="39"/>
      <c r="V65" s="51"/>
    </row>
    <row r="66" spans="1:22" hidden="1" outlineLevel="1" collapsed="1" x14ac:dyDescent="0.2">
      <c r="A66" s="55" t="s">
        <v>70</v>
      </c>
      <c r="B66" s="70" t="s">
        <v>655</v>
      </c>
      <c r="C66" s="7"/>
      <c r="D66" s="1"/>
      <c r="E66" s="7"/>
      <c r="F66" s="27"/>
      <c r="G66" s="7"/>
      <c r="H66" s="15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>
        <v>33</v>
      </c>
      <c r="U66" s="51">
        <v>29</v>
      </c>
      <c r="V66" s="51"/>
    </row>
    <row r="67" spans="1:22" hidden="1" outlineLevel="1" x14ac:dyDescent="0.2">
      <c r="A67" s="55" t="s">
        <v>331</v>
      </c>
      <c r="B67" s="5" t="s">
        <v>392</v>
      </c>
      <c r="C67" s="7"/>
      <c r="D67" s="1"/>
      <c r="E67" s="7"/>
      <c r="F67" s="27"/>
      <c r="G67" s="7"/>
      <c r="H67" s="15"/>
      <c r="I67" s="39"/>
      <c r="J67" s="39"/>
      <c r="K67" s="39"/>
      <c r="L67" s="39"/>
      <c r="M67" s="39"/>
      <c r="N67" s="39"/>
      <c r="O67" s="39"/>
      <c r="P67" s="39"/>
      <c r="Q67" s="39"/>
      <c r="R67" s="39">
        <v>5</v>
      </c>
      <c r="S67" s="39">
        <v>6</v>
      </c>
      <c r="T67" s="39">
        <v>20</v>
      </c>
      <c r="U67" s="51">
        <v>16</v>
      </c>
      <c r="V67" s="51"/>
    </row>
    <row r="68" spans="1:22" hidden="1" outlineLevel="1" x14ac:dyDescent="0.2">
      <c r="A68" s="55" t="s">
        <v>332</v>
      </c>
      <c r="B68" s="5" t="s">
        <v>393</v>
      </c>
      <c r="C68" s="7"/>
      <c r="D68" s="1"/>
      <c r="E68" s="7"/>
      <c r="F68" s="27"/>
      <c r="G68" s="7"/>
      <c r="H68" s="15"/>
      <c r="I68" s="39"/>
      <c r="J68" s="39"/>
      <c r="K68" s="39"/>
      <c r="L68" s="39"/>
      <c r="M68" s="39"/>
      <c r="N68" s="39"/>
      <c r="O68" s="39"/>
      <c r="P68" s="39"/>
      <c r="Q68" s="39"/>
      <c r="R68" s="39">
        <v>364</v>
      </c>
      <c r="S68" s="39">
        <v>514</v>
      </c>
      <c r="T68" s="39">
        <v>528</v>
      </c>
      <c r="U68" s="51">
        <v>366</v>
      </c>
      <c r="V68" s="51"/>
    </row>
    <row r="69" spans="1:22" hidden="1" outlineLevel="1" x14ac:dyDescent="0.2">
      <c r="A69" s="5" t="s">
        <v>72</v>
      </c>
      <c r="B69" s="5" t="s">
        <v>73</v>
      </c>
      <c r="C69" s="5"/>
      <c r="D69" s="2"/>
      <c r="E69" s="7"/>
      <c r="F69" s="27"/>
      <c r="G69" s="7"/>
      <c r="H69" s="15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51"/>
    </row>
    <row r="70" spans="1:22" hidden="1" outlineLevel="1" x14ac:dyDescent="0.2">
      <c r="A70" s="5"/>
      <c r="B70" s="5" t="s">
        <v>679</v>
      </c>
      <c r="C70" s="7">
        <f>2902</f>
        <v>2902</v>
      </c>
      <c r="D70" s="1">
        <f>2846</f>
        <v>2846</v>
      </c>
      <c r="E70" s="7">
        <v>2961</v>
      </c>
      <c r="F70" s="27"/>
      <c r="G70" s="7">
        <v>2884</v>
      </c>
      <c r="H70" s="15">
        <v>2842</v>
      </c>
      <c r="I70" s="39">
        <v>3237</v>
      </c>
      <c r="J70" s="39">
        <v>3522</v>
      </c>
      <c r="K70" s="39">
        <v>3690</v>
      </c>
      <c r="L70" s="39">
        <v>4942</v>
      </c>
      <c r="M70" s="39">
        <v>4827</v>
      </c>
      <c r="N70" s="39">
        <v>5347</v>
      </c>
      <c r="O70" s="39">
        <v>5707</v>
      </c>
      <c r="P70" s="39">
        <v>5490</v>
      </c>
      <c r="Q70" s="39">
        <v>6085</v>
      </c>
      <c r="R70" s="39">
        <v>3508</v>
      </c>
      <c r="S70" s="39">
        <v>4825</v>
      </c>
      <c r="T70" s="39">
        <v>4843</v>
      </c>
      <c r="U70" s="39">
        <v>3182</v>
      </c>
      <c r="V70" s="51"/>
    </row>
    <row r="71" spans="1:22" hidden="1" outlineLevel="1" x14ac:dyDescent="0.2">
      <c r="A71" s="5" t="s">
        <v>74</v>
      </c>
      <c r="B71" s="69" t="s">
        <v>75</v>
      </c>
      <c r="C71" s="5"/>
      <c r="D71" s="2"/>
      <c r="E71" s="5"/>
      <c r="F71" s="14"/>
      <c r="G71" s="7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</row>
    <row r="72" spans="1:22" hidden="1" outlineLevel="1" x14ac:dyDescent="0.2">
      <c r="A72" s="5"/>
      <c r="B72" s="75" t="s">
        <v>680</v>
      </c>
      <c r="C72" s="5">
        <f>9.6</f>
        <v>9.6</v>
      </c>
      <c r="D72" s="2">
        <f>11.1</f>
        <v>11.1</v>
      </c>
      <c r="E72" s="5">
        <v>11.2</v>
      </c>
      <c r="F72" s="14"/>
      <c r="G72" s="5">
        <v>11.7</v>
      </c>
      <c r="H72" s="24">
        <v>12</v>
      </c>
      <c r="I72" s="40">
        <v>11.8</v>
      </c>
      <c r="J72" s="40">
        <v>11</v>
      </c>
      <c r="K72" s="40">
        <v>10.5</v>
      </c>
      <c r="L72" s="40">
        <v>10.6</v>
      </c>
      <c r="M72" s="40">
        <v>10.7</v>
      </c>
      <c r="N72" s="40">
        <v>11.3</v>
      </c>
      <c r="O72" s="40">
        <v>11.4</v>
      </c>
      <c r="P72" s="40">
        <v>10.7</v>
      </c>
      <c r="Q72" s="40">
        <v>10.1</v>
      </c>
      <c r="R72" s="40">
        <v>9.8000000000000007</v>
      </c>
      <c r="S72" s="40">
        <v>8.3000000000000007</v>
      </c>
      <c r="T72" s="40">
        <v>8</v>
      </c>
      <c r="U72" s="52">
        <v>7.7</v>
      </c>
    </row>
    <row r="73" spans="1:22" hidden="1" outlineLevel="1" x14ac:dyDescent="0.2">
      <c r="A73" s="5" t="s">
        <v>76</v>
      </c>
      <c r="B73" s="69" t="s">
        <v>602</v>
      </c>
      <c r="C73" s="5"/>
      <c r="D73" s="2"/>
      <c r="E73" s="5"/>
      <c r="F73" s="14"/>
      <c r="G73" s="5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51"/>
    </row>
    <row r="74" spans="1:22" hidden="1" outlineLevel="1" x14ac:dyDescent="0.2">
      <c r="A74" s="5"/>
      <c r="B74" s="69" t="s">
        <v>603</v>
      </c>
      <c r="C74" s="5"/>
      <c r="D74" s="2"/>
      <c r="E74" s="5"/>
      <c r="F74" s="14"/>
      <c r="G74" s="5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51"/>
    </row>
    <row r="75" spans="1:22" hidden="1" outlineLevel="1" x14ac:dyDescent="0.2">
      <c r="A75" s="5"/>
      <c r="B75" s="76" t="s">
        <v>681</v>
      </c>
      <c r="C75" s="22">
        <f>6</f>
        <v>6</v>
      </c>
      <c r="D75" s="2">
        <f>5.9</f>
        <v>5.9</v>
      </c>
      <c r="E75" s="24">
        <v>7</v>
      </c>
      <c r="F75" s="28"/>
      <c r="G75" s="5">
        <v>7.7</v>
      </c>
      <c r="H75" s="5">
        <v>7.6</v>
      </c>
      <c r="I75" s="41">
        <v>7.5</v>
      </c>
      <c r="J75" s="41">
        <v>6.7</v>
      </c>
      <c r="K75" s="41">
        <v>5.7</v>
      </c>
      <c r="L75" s="40">
        <v>7</v>
      </c>
      <c r="M75" s="41">
        <v>7.1</v>
      </c>
      <c r="N75" s="40">
        <v>8</v>
      </c>
      <c r="O75" s="40">
        <v>7.8</v>
      </c>
      <c r="P75" s="40">
        <v>8</v>
      </c>
      <c r="Q75" s="40">
        <v>8.4</v>
      </c>
      <c r="R75" s="40">
        <v>6.7</v>
      </c>
      <c r="S75" s="40">
        <v>7.1</v>
      </c>
      <c r="T75" s="40">
        <v>6.8</v>
      </c>
      <c r="U75" s="52">
        <v>6.3</v>
      </c>
    </row>
    <row r="76" spans="1:22" hidden="1" outlineLevel="2" x14ac:dyDescent="0.2">
      <c r="A76" s="5" t="s">
        <v>77</v>
      </c>
      <c r="B76" s="5" t="s">
        <v>78</v>
      </c>
      <c r="C76" s="5"/>
      <c r="D76" s="2"/>
      <c r="E76" s="5"/>
      <c r="F76" s="14"/>
      <c r="G76" s="5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</row>
    <row r="77" spans="1:22" hidden="1" outlineLevel="2" x14ac:dyDescent="0.2">
      <c r="A77" s="5"/>
      <c r="B77" s="5" t="s">
        <v>79</v>
      </c>
      <c r="C77" s="5">
        <f>48</f>
        <v>48</v>
      </c>
      <c r="D77" s="2">
        <f>37</f>
        <v>37</v>
      </c>
      <c r="E77" s="5">
        <v>36</v>
      </c>
      <c r="F77" s="14"/>
      <c r="G77" s="5">
        <v>23</v>
      </c>
      <c r="H77" s="15">
        <v>24</v>
      </c>
      <c r="I77" s="39">
        <v>105</v>
      </c>
      <c r="J77" s="39">
        <v>1081</v>
      </c>
      <c r="K77" s="39" t="s">
        <v>297</v>
      </c>
      <c r="L77" s="39" t="s">
        <v>297</v>
      </c>
      <c r="M77" s="39" t="s">
        <v>297</v>
      </c>
      <c r="N77" s="39" t="s">
        <v>297</v>
      </c>
      <c r="O77" s="39"/>
      <c r="P77" s="39"/>
      <c r="Q77" s="39"/>
      <c r="R77" s="39"/>
      <c r="S77" s="39"/>
      <c r="T77" s="39"/>
      <c r="U77" s="39"/>
    </row>
    <row r="78" spans="1:22" hidden="1" outlineLevel="1" collapsed="1" x14ac:dyDescent="0.2">
      <c r="A78" s="5"/>
      <c r="B78" s="5"/>
      <c r="C78" s="5"/>
      <c r="D78" s="2"/>
      <c r="E78" s="5"/>
      <c r="F78" s="14"/>
      <c r="G78" s="5"/>
      <c r="H78" s="15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</row>
    <row r="79" spans="1:22" hidden="1" outlineLevel="1" x14ac:dyDescent="0.2">
      <c r="A79" s="5"/>
      <c r="B79" s="5"/>
      <c r="C79" s="5"/>
      <c r="D79" s="2"/>
      <c r="E79" s="5"/>
      <c r="F79" s="14"/>
      <c r="G79" s="5"/>
      <c r="H79" s="15"/>
      <c r="I79" s="39"/>
      <c r="J79" s="39"/>
      <c r="K79" s="39"/>
      <c r="L79" s="39"/>
      <c r="M79" s="39"/>
      <c r="N79" s="39"/>
      <c r="O79" s="39"/>
      <c r="P79" s="39"/>
      <c r="Q79" s="39"/>
      <c r="R79" s="38">
        <v>2006</v>
      </c>
      <c r="S79" s="38">
        <v>2007</v>
      </c>
      <c r="T79" s="38">
        <v>2008</v>
      </c>
      <c r="U79" s="38">
        <v>2009</v>
      </c>
      <c r="V79" s="38">
        <v>2010</v>
      </c>
    </row>
    <row r="80" spans="1:22" hidden="1" outlineLevel="1" x14ac:dyDescent="0.2">
      <c r="A80" s="32" t="s">
        <v>77</v>
      </c>
      <c r="B80" s="5" t="s">
        <v>642</v>
      </c>
      <c r="C80" s="5"/>
      <c r="D80" s="2"/>
      <c r="E80" s="5"/>
      <c r="F80" s="14"/>
      <c r="G80" s="5"/>
      <c r="H80" s="15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</row>
    <row r="81" spans="1:24" hidden="1" outlineLevel="1" x14ac:dyDescent="0.2">
      <c r="A81" s="32" t="s">
        <v>643</v>
      </c>
      <c r="B81" s="5" t="s">
        <v>644</v>
      </c>
      <c r="C81" s="5"/>
      <c r="D81" s="2"/>
      <c r="E81" s="5"/>
      <c r="F81" s="14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>
        <v>4231</v>
      </c>
    </row>
    <row r="82" spans="1:24" hidden="1" outlineLevel="1" x14ac:dyDescent="0.2">
      <c r="A82" s="32" t="s">
        <v>645</v>
      </c>
      <c r="B82" s="5" t="s">
        <v>646</v>
      </c>
      <c r="C82" s="5"/>
      <c r="D82" s="2"/>
      <c r="E82" s="5"/>
      <c r="F82" s="14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>
        <v>75</v>
      </c>
    </row>
    <row r="83" spans="1:24" hidden="1" outlineLevel="1" x14ac:dyDescent="0.2">
      <c r="A83" s="32" t="s">
        <v>647</v>
      </c>
      <c r="B83" s="5" t="s">
        <v>648</v>
      </c>
      <c r="C83" s="5"/>
      <c r="D83" s="2"/>
      <c r="E83" s="5"/>
      <c r="F83" s="14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>
        <v>336</v>
      </c>
    </row>
    <row r="84" spans="1:24" hidden="1" outlineLevel="1" x14ac:dyDescent="0.2">
      <c r="A84" s="32" t="s">
        <v>649</v>
      </c>
      <c r="B84" s="5" t="s">
        <v>650</v>
      </c>
      <c r="C84" s="5"/>
      <c r="D84" s="2"/>
      <c r="E84" s="5"/>
      <c r="F84" s="14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>
        <v>1</v>
      </c>
    </row>
    <row r="85" spans="1:24" hidden="1" outlineLevel="1" x14ac:dyDescent="0.2">
      <c r="A85" s="32" t="s">
        <v>651</v>
      </c>
      <c r="B85" s="5" t="s">
        <v>652</v>
      </c>
      <c r="C85" s="5"/>
      <c r="D85" s="2"/>
      <c r="E85" s="5"/>
      <c r="F85" s="14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>
        <v>25</v>
      </c>
    </row>
    <row r="86" spans="1:24" hidden="1" outlineLevel="1" x14ac:dyDescent="0.2">
      <c r="A86" s="32" t="s">
        <v>225</v>
      </c>
      <c r="B86" s="5" t="s">
        <v>73</v>
      </c>
      <c r="C86" s="5"/>
      <c r="D86" s="2"/>
      <c r="E86" s="5"/>
      <c r="F86" s="14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</row>
    <row r="87" spans="1:24" hidden="1" outlineLevel="1" x14ac:dyDescent="0.2">
      <c r="A87" s="32"/>
      <c r="B87" s="32" t="s">
        <v>669</v>
      </c>
      <c r="C87" s="5"/>
      <c r="D87" s="2"/>
      <c r="E87" s="5"/>
      <c r="F87" s="14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>
        <v>1453</v>
      </c>
    </row>
    <row r="88" spans="1:24" hidden="1" outlineLevel="1" x14ac:dyDescent="0.2">
      <c r="A88" s="32" t="s">
        <v>227</v>
      </c>
      <c r="B88" s="5" t="s">
        <v>653</v>
      </c>
      <c r="C88" s="5"/>
      <c r="D88" s="2"/>
      <c r="E88" s="5"/>
      <c r="F88" s="14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</row>
    <row r="89" spans="1:24" hidden="1" outlineLevel="1" x14ac:dyDescent="0.2">
      <c r="A89" s="32"/>
      <c r="B89" s="32" t="s">
        <v>654</v>
      </c>
      <c r="C89" s="5"/>
      <c r="D89" s="2"/>
      <c r="E89" s="5"/>
      <c r="F89" s="14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58">
        <v>7.1</v>
      </c>
    </row>
    <row r="90" spans="1:24" collapsed="1" x14ac:dyDescent="0.2">
      <c r="A90" s="32" t="s">
        <v>65</v>
      </c>
      <c r="B90" s="5" t="s">
        <v>642</v>
      </c>
      <c r="C90" s="5"/>
      <c r="D90" s="2"/>
      <c r="E90" s="5"/>
      <c r="F90" s="14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58"/>
    </row>
    <row r="91" spans="1:24" x14ac:dyDescent="0.2">
      <c r="A91" s="32" t="s">
        <v>66</v>
      </c>
      <c r="B91" s="5" t="s">
        <v>644</v>
      </c>
      <c r="C91" s="5"/>
      <c r="D91" s="2"/>
      <c r="E91" s="5"/>
      <c r="F91" s="14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>
        <v>4231</v>
      </c>
      <c r="V91" s="39">
        <v>12565</v>
      </c>
      <c r="W91" s="39">
        <v>13352</v>
      </c>
      <c r="X91" s="39">
        <v>12607</v>
      </c>
    </row>
    <row r="92" spans="1:24" x14ac:dyDescent="0.2">
      <c r="A92" s="32" t="s">
        <v>67</v>
      </c>
      <c r="B92" s="5" t="s">
        <v>646</v>
      </c>
      <c r="C92" s="5"/>
      <c r="D92" s="2"/>
      <c r="E92" s="5"/>
      <c r="F92" s="14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>
        <v>75</v>
      </c>
      <c r="V92" s="39">
        <v>369</v>
      </c>
      <c r="W92" s="39">
        <v>495</v>
      </c>
      <c r="X92" s="39">
        <v>320</v>
      </c>
    </row>
    <row r="93" spans="1:24" x14ac:dyDescent="0.2">
      <c r="A93" s="32" t="s">
        <v>68</v>
      </c>
      <c r="B93" s="5" t="s">
        <v>648</v>
      </c>
      <c r="C93" s="5"/>
      <c r="D93" s="2"/>
      <c r="E93" s="5"/>
      <c r="F93" s="14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>
        <v>336</v>
      </c>
      <c r="V93" s="39">
        <v>2677</v>
      </c>
      <c r="W93" s="39">
        <v>3211</v>
      </c>
      <c r="X93" s="39">
        <v>3343</v>
      </c>
    </row>
    <row r="94" spans="1:24" x14ac:dyDescent="0.2">
      <c r="A94" s="32" t="s">
        <v>69</v>
      </c>
      <c r="B94" s="5" t="s">
        <v>650</v>
      </c>
      <c r="C94" s="5"/>
      <c r="D94" s="2"/>
      <c r="E94" s="5"/>
      <c r="F94" s="14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>
        <v>1</v>
      </c>
      <c r="V94" s="39">
        <v>1</v>
      </c>
      <c r="W94" s="39">
        <v>1</v>
      </c>
      <c r="X94" s="39">
        <v>1</v>
      </c>
    </row>
    <row r="95" spans="1:24" x14ac:dyDescent="0.2">
      <c r="A95" s="32" t="s">
        <v>70</v>
      </c>
      <c r="B95" s="5" t="s">
        <v>652</v>
      </c>
      <c r="C95" s="5"/>
      <c r="D95" s="2"/>
      <c r="E95" s="5"/>
      <c r="F95" s="14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>
        <v>25</v>
      </c>
      <c r="V95" s="39">
        <v>59</v>
      </c>
      <c r="W95" s="39">
        <v>55</v>
      </c>
      <c r="X95" s="39">
        <v>75</v>
      </c>
    </row>
    <row r="96" spans="1:24" x14ac:dyDescent="0.2">
      <c r="A96" s="32" t="s">
        <v>72</v>
      </c>
      <c r="B96" s="5" t="s">
        <v>73</v>
      </c>
      <c r="C96" s="5"/>
      <c r="D96" s="2"/>
      <c r="E96" s="5"/>
      <c r="F96" s="14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</row>
    <row r="97" spans="1:24" x14ac:dyDescent="0.2">
      <c r="A97" s="32"/>
      <c r="B97" s="32" t="s">
        <v>669</v>
      </c>
      <c r="C97" s="5"/>
      <c r="D97" s="2"/>
      <c r="E97" s="5"/>
      <c r="F97" s="14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>
        <v>1453</v>
      </c>
      <c r="V97" s="39">
        <v>4091</v>
      </c>
      <c r="W97" s="39">
        <v>4133</v>
      </c>
      <c r="X97" s="39">
        <v>3914</v>
      </c>
    </row>
    <row r="98" spans="1:24" x14ac:dyDescent="0.2">
      <c r="A98" s="32" t="s">
        <v>74</v>
      </c>
      <c r="B98" s="5" t="s">
        <v>653</v>
      </c>
      <c r="C98" s="5"/>
      <c r="D98" s="2"/>
      <c r="E98" s="5"/>
      <c r="F98" s="14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</row>
    <row r="99" spans="1:24" x14ac:dyDescent="0.2">
      <c r="A99" s="32"/>
      <c r="B99" s="32" t="s">
        <v>654</v>
      </c>
      <c r="C99" s="5"/>
      <c r="D99" s="2"/>
      <c r="E99" s="5"/>
      <c r="F99" s="14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58">
        <v>7.1</v>
      </c>
      <c r="V99" s="101">
        <v>7</v>
      </c>
      <c r="W99" s="101">
        <v>7.6</v>
      </c>
      <c r="X99" s="101">
        <v>7.8</v>
      </c>
    </row>
    <row r="100" spans="1:24" x14ac:dyDescent="0.2">
      <c r="A100" s="5"/>
      <c r="B100" s="5"/>
      <c r="C100" s="5"/>
      <c r="D100" s="2"/>
      <c r="E100" s="5"/>
      <c r="F100" s="14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</row>
    <row r="101" spans="1:24" x14ac:dyDescent="0.2">
      <c r="A101" s="6" t="s">
        <v>80</v>
      </c>
      <c r="B101" s="94" t="s">
        <v>81</v>
      </c>
      <c r="C101" s="7">
        <f>308088</f>
        <v>308088</v>
      </c>
      <c r="D101" s="1">
        <v>423210</v>
      </c>
      <c r="E101" s="7">
        <v>462900</v>
      </c>
      <c r="F101" s="27"/>
      <c r="G101" s="7">
        <v>455881</v>
      </c>
      <c r="H101" s="7">
        <v>459699</v>
      </c>
      <c r="I101" s="39">
        <v>469362</v>
      </c>
      <c r="J101" s="39">
        <v>570516</v>
      </c>
      <c r="K101" s="39">
        <v>527716</v>
      </c>
      <c r="L101" s="39">
        <v>520756</v>
      </c>
      <c r="M101" s="39">
        <v>534767</v>
      </c>
      <c r="N101" s="39">
        <v>612750</v>
      </c>
      <c r="O101" s="39">
        <v>647753</v>
      </c>
      <c r="P101" s="39">
        <v>711752</v>
      </c>
      <c r="Q101" s="66">
        <v>748934</v>
      </c>
      <c r="R101" s="21"/>
      <c r="S101" s="21"/>
      <c r="T101" s="21"/>
      <c r="U101" s="21"/>
    </row>
    <row r="102" spans="1:24" x14ac:dyDescent="0.2">
      <c r="A102" s="32" t="s">
        <v>255</v>
      </c>
      <c r="B102" s="69" t="s">
        <v>624</v>
      </c>
      <c r="C102" s="71"/>
      <c r="D102" s="72"/>
      <c r="E102" s="71"/>
      <c r="F102" s="73"/>
      <c r="G102" s="71"/>
      <c r="H102" s="71"/>
      <c r="I102" s="51"/>
      <c r="J102" s="51"/>
      <c r="K102" s="51"/>
      <c r="L102" s="51"/>
      <c r="M102" s="51"/>
      <c r="N102" s="51"/>
      <c r="O102" s="51"/>
      <c r="P102" s="51"/>
      <c r="Q102" s="51"/>
      <c r="R102" s="51">
        <v>665657</v>
      </c>
      <c r="S102" s="51">
        <v>561833</v>
      </c>
      <c r="T102" s="51">
        <v>558886</v>
      </c>
      <c r="U102" s="51">
        <v>486797</v>
      </c>
      <c r="V102" s="51">
        <v>490874</v>
      </c>
      <c r="W102" s="51">
        <v>431981</v>
      </c>
      <c r="X102" s="51">
        <v>420097</v>
      </c>
    </row>
    <row r="103" spans="1:24" x14ac:dyDescent="0.2">
      <c r="A103" s="32" t="s">
        <v>256</v>
      </c>
      <c r="B103" s="69" t="s">
        <v>625</v>
      </c>
      <c r="C103" s="71"/>
      <c r="D103" s="72"/>
      <c r="E103" s="71"/>
      <c r="F103" s="73"/>
      <c r="G103" s="71"/>
      <c r="H103" s="71"/>
      <c r="I103" s="51"/>
      <c r="J103" s="51"/>
      <c r="K103" s="51"/>
      <c r="L103" s="51"/>
      <c r="M103" s="51"/>
      <c r="N103" s="51"/>
      <c r="O103" s="51"/>
      <c r="P103" s="51"/>
      <c r="Q103" s="51"/>
      <c r="R103" s="51">
        <v>40717</v>
      </c>
      <c r="S103" s="51">
        <v>36102</v>
      </c>
      <c r="T103" s="51">
        <v>35891</v>
      </c>
      <c r="U103" s="51">
        <v>35037</v>
      </c>
      <c r="V103" s="51">
        <v>34384</v>
      </c>
      <c r="W103" s="51">
        <v>35825</v>
      </c>
      <c r="X103" s="51">
        <v>32929</v>
      </c>
    </row>
    <row r="104" spans="1:24" x14ac:dyDescent="0.2">
      <c r="A104" s="6"/>
      <c r="B104" s="6"/>
      <c r="C104" s="7"/>
      <c r="D104" s="1"/>
      <c r="E104" s="7"/>
      <c r="F104" s="27"/>
      <c r="G104" s="7"/>
    </row>
    <row r="105" spans="1:24" x14ac:dyDescent="0.2">
      <c r="A105" s="6" t="s">
        <v>82</v>
      </c>
      <c r="B105" s="6" t="s">
        <v>83</v>
      </c>
      <c r="C105" s="5"/>
      <c r="D105" s="2"/>
      <c r="F105" s="14"/>
    </row>
    <row r="106" spans="1:24" x14ac:dyDescent="0.2">
      <c r="A106" s="5" t="s">
        <v>84</v>
      </c>
      <c r="B106" s="5" t="s">
        <v>407</v>
      </c>
      <c r="C106" s="5">
        <f>6</f>
        <v>6</v>
      </c>
      <c r="D106" s="1">
        <f>6</f>
        <v>6</v>
      </c>
      <c r="E106" s="7">
        <v>4</v>
      </c>
      <c r="F106" s="27"/>
      <c r="G106" s="7">
        <v>4</v>
      </c>
      <c r="H106" s="7">
        <v>1</v>
      </c>
      <c r="I106" s="39">
        <v>5</v>
      </c>
      <c r="J106" s="39">
        <v>4</v>
      </c>
      <c r="K106" s="39">
        <v>2</v>
      </c>
      <c r="L106" s="39">
        <v>9</v>
      </c>
      <c r="M106" s="39">
        <v>1</v>
      </c>
      <c r="N106" s="39">
        <v>1</v>
      </c>
      <c r="O106" s="39">
        <v>0</v>
      </c>
      <c r="P106" s="39">
        <v>0</v>
      </c>
      <c r="Q106" s="39">
        <v>0</v>
      </c>
      <c r="R106" s="39">
        <v>0</v>
      </c>
      <c r="S106" s="39">
        <v>1</v>
      </c>
      <c r="T106" s="39">
        <v>1</v>
      </c>
      <c r="U106" s="39">
        <v>1</v>
      </c>
      <c r="V106" s="39">
        <v>1</v>
      </c>
      <c r="W106" s="39">
        <v>1</v>
      </c>
      <c r="X106" s="39">
        <v>0</v>
      </c>
    </row>
    <row r="107" spans="1:24" x14ac:dyDescent="0.2">
      <c r="A107" s="5" t="s">
        <v>85</v>
      </c>
      <c r="B107" s="5" t="s">
        <v>408</v>
      </c>
      <c r="C107" s="5">
        <f>618</f>
        <v>618</v>
      </c>
      <c r="D107" s="1">
        <f>494</f>
        <v>494</v>
      </c>
      <c r="E107" s="7">
        <v>490</v>
      </c>
      <c r="F107" s="27"/>
      <c r="G107" s="7">
        <v>576</v>
      </c>
      <c r="H107" s="7">
        <v>826</v>
      </c>
      <c r="I107" s="39">
        <v>856</v>
      </c>
      <c r="J107" s="39">
        <v>661</v>
      </c>
      <c r="K107" s="39">
        <v>686</v>
      </c>
      <c r="L107" s="39">
        <v>825</v>
      </c>
      <c r="M107" s="39">
        <v>867</v>
      </c>
      <c r="N107" s="39">
        <v>837</v>
      </c>
      <c r="O107" s="39">
        <v>756</v>
      </c>
      <c r="P107" s="39">
        <v>1018</v>
      </c>
      <c r="Q107" s="39">
        <v>1354</v>
      </c>
      <c r="R107" s="39">
        <v>858</v>
      </c>
      <c r="S107" s="39">
        <v>708</v>
      </c>
      <c r="T107" s="39">
        <v>722</v>
      </c>
      <c r="U107" s="39">
        <v>641</v>
      </c>
      <c r="V107" s="39">
        <v>526</v>
      </c>
      <c r="W107" s="39">
        <v>495</v>
      </c>
      <c r="X107" s="39">
        <v>458</v>
      </c>
    </row>
    <row r="108" spans="1:24" x14ac:dyDescent="0.2">
      <c r="A108" s="5" t="s">
        <v>86</v>
      </c>
      <c r="B108" s="5" t="s">
        <v>409</v>
      </c>
      <c r="C108" s="5">
        <f>251</f>
        <v>251</v>
      </c>
      <c r="D108" s="1">
        <f>157</f>
        <v>157</v>
      </c>
      <c r="E108" s="7">
        <v>142</v>
      </c>
      <c r="F108" s="27"/>
      <c r="G108" s="7">
        <v>181</v>
      </c>
      <c r="H108" s="7">
        <v>255</v>
      </c>
      <c r="I108" s="39">
        <v>842</v>
      </c>
      <c r="J108" s="39">
        <v>254</v>
      </c>
      <c r="K108" s="39">
        <v>226</v>
      </c>
      <c r="L108" s="39">
        <v>519</v>
      </c>
      <c r="M108" s="39">
        <v>458</v>
      </c>
      <c r="N108" s="39">
        <v>333</v>
      </c>
      <c r="O108" s="39">
        <v>450</v>
      </c>
      <c r="P108" s="39">
        <v>570</v>
      </c>
      <c r="Q108" s="39">
        <v>671</v>
      </c>
      <c r="R108" s="39">
        <v>421</v>
      </c>
      <c r="S108" s="39">
        <v>257</v>
      </c>
      <c r="T108" s="51">
        <v>217</v>
      </c>
      <c r="U108" s="51">
        <v>192</v>
      </c>
      <c r="V108" s="51">
        <v>146</v>
      </c>
      <c r="W108" s="51">
        <v>126</v>
      </c>
      <c r="X108" s="51">
        <v>125</v>
      </c>
    </row>
    <row r="109" spans="1:24" x14ac:dyDescent="0.2">
      <c r="A109" s="5" t="s">
        <v>87</v>
      </c>
      <c r="B109" s="5" t="s">
        <v>410</v>
      </c>
      <c r="C109" s="7">
        <f>106696</f>
        <v>106696</v>
      </c>
      <c r="D109" s="1">
        <f>98236</f>
        <v>98236</v>
      </c>
      <c r="E109" s="7">
        <v>98153</v>
      </c>
      <c r="F109" s="27"/>
      <c r="G109" s="7">
        <v>99945</v>
      </c>
      <c r="H109" s="7">
        <v>106324</v>
      </c>
      <c r="I109" s="39">
        <v>106805</v>
      </c>
      <c r="J109" s="39">
        <v>108029</v>
      </c>
      <c r="K109" s="39">
        <v>67282</v>
      </c>
      <c r="L109" s="39">
        <v>70737</v>
      </c>
      <c r="M109" s="39">
        <v>73918</v>
      </c>
      <c r="N109" s="39">
        <v>71723</v>
      </c>
      <c r="O109" s="39">
        <v>73389</v>
      </c>
      <c r="P109" s="21"/>
      <c r="Q109" s="21"/>
      <c r="R109" s="21"/>
      <c r="S109" s="21"/>
      <c r="T109" s="21"/>
      <c r="U109" s="21"/>
    </row>
    <row r="110" spans="1:24" x14ac:dyDescent="0.2">
      <c r="A110" s="5"/>
      <c r="B110" s="5" t="s">
        <v>411</v>
      </c>
      <c r="C110" s="7"/>
      <c r="D110" s="1"/>
      <c r="E110" s="7"/>
      <c r="F110" s="27"/>
      <c r="G110" s="7"/>
      <c r="I110" s="39"/>
      <c r="J110" s="39"/>
      <c r="K110" s="39"/>
      <c r="L110" s="39"/>
      <c r="M110" s="39"/>
      <c r="N110" s="39"/>
      <c r="O110" s="39"/>
      <c r="P110" s="39">
        <v>77123</v>
      </c>
      <c r="Q110" s="39">
        <v>77079</v>
      </c>
      <c r="R110" s="39">
        <v>74843</v>
      </c>
      <c r="S110" s="39">
        <v>68244</v>
      </c>
      <c r="T110" s="39">
        <v>67800</v>
      </c>
      <c r="U110" s="39">
        <v>69559</v>
      </c>
      <c r="V110" s="39">
        <v>67122</v>
      </c>
      <c r="W110" s="39">
        <v>68089</v>
      </c>
      <c r="X110" s="39">
        <v>65795</v>
      </c>
    </row>
    <row r="111" spans="1:24" x14ac:dyDescent="0.2">
      <c r="A111" s="5"/>
      <c r="B111" s="5"/>
      <c r="C111" s="7"/>
      <c r="D111" s="1"/>
      <c r="E111" s="7"/>
      <c r="F111" s="27"/>
      <c r="G111" s="7"/>
      <c r="V111" s="7"/>
    </row>
    <row r="112" spans="1:24" x14ac:dyDescent="0.2">
      <c r="A112" s="5"/>
      <c r="B112" s="5"/>
      <c r="C112" s="7"/>
      <c r="D112" s="62">
        <f>1993</f>
        <v>1993</v>
      </c>
      <c r="E112" s="62">
        <v>1994</v>
      </c>
      <c r="F112" s="62"/>
      <c r="G112" s="63">
        <v>1995</v>
      </c>
      <c r="H112" s="64">
        <v>1996</v>
      </c>
      <c r="I112" s="38">
        <v>1997</v>
      </c>
      <c r="J112" s="38">
        <v>1998</v>
      </c>
      <c r="K112" s="38">
        <v>1999</v>
      </c>
      <c r="L112" s="38">
        <v>2000</v>
      </c>
      <c r="M112" s="38">
        <v>2001</v>
      </c>
      <c r="N112" s="38">
        <v>2002</v>
      </c>
      <c r="O112" s="38">
        <v>2003</v>
      </c>
      <c r="P112" s="38">
        <v>2004</v>
      </c>
      <c r="Q112" s="38">
        <v>2005</v>
      </c>
      <c r="R112" s="38">
        <v>2006</v>
      </c>
      <c r="S112" s="38">
        <v>2007</v>
      </c>
      <c r="T112" s="38">
        <v>2008</v>
      </c>
      <c r="U112" s="38">
        <v>2009</v>
      </c>
      <c r="V112" s="38">
        <v>2010</v>
      </c>
      <c r="W112" s="38">
        <v>2011</v>
      </c>
      <c r="X112" s="38">
        <v>2012</v>
      </c>
    </row>
    <row r="113" spans="1:24" x14ac:dyDescent="0.2">
      <c r="A113" s="56" t="s">
        <v>88</v>
      </c>
      <c r="B113" s="6" t="s">
        <v>300</v>
      </c>
      <c r="C113" s="7"/>
      <c r="D113" s="1"/>
      <c r="E113" s="7"/>
      <c r="F113" s="27"/>
      <c r="G113" s="7"/>
      <c r="P113" s="21"/>
      <c r="Q113" s="21"/>
      <c r="R113" s="21"/>
      <c r="S113" s="21"/>
      <c r="T113" s="21"/>
      <c r="U113" s="21"/>
    </row>
    <row r="114" spans="1:24" x14ac:dyDescent="0.2">
      <c r="A114" s="32" t="s">
        <v>333</v>
      </c>
      <c r="B114" s="6" t="s">
        <v>299</v>
      </c>
      <c r="C114" s="7"/>
      <c r="D114" s="1"/>
      <c r="E114" s="7"/>
      <c r="F114" s="27"/>
      <c r="G114" s="7"/>
      <c r="S114" s="39"/>
      <c r="T114" s="39"/>
      <c r="U114" s="39"/>
      <c r="V114" s="39"/>
    </row>
    <row r="115" spans="1:24" x14ac:dyDescent="0.2">
      <c r="A115" s="32" t="s">
        <v>557</v>
      </c>
      <c r="B115" s="5" t="s">
        <v>560</v>
      </c>
      <c r="C115" s="5"/>
      <c r="D115" s="2"/>
      <c r="E115" s="7"/>
      <c r="F115" s="27"/>
      <c r="G115" s="7"/>
      <c r="I115" s="39"/>
      <c r="J115" s="39"/>
      <c r="K115" s="39">
        <v>1527</v>
      </c>
      <c r="L115" s="39">
        <v>1460</v>
      </c>
      <c r="M115" s="39">
        <v>1736</v>
      </c>
      <c r="N115" s="39">
        <v>2271</v>
      </c>
      <c r="O115" s="39">
        <v>2477</v>
      </c>
      <c r="P115" s="39">
        <v>2259</v>
      </c>
      <c r="Q115" s="39">
        <v>2266</v>
      </c>
      <c r="R115" s="39">
        <v>2124</v>
      </c>
      <c r="S115" s="39">
        <v>1838</v>
      </c>
      <c r="T115" s="39">
        <v>1945</v>
      </c>
      <c r="U115" s="39">
        <v>2168</v>
      </c>
      <c r="V115" s="39">
        <f>1067+806</f>
        <v>1873</v>
      </c>
      <c r="W115" s="39">
        <v>1869</v>
      </c>
      <c r="X115" s="39">
        <v>1961</v>
      </c>
    </row>
    <row r="116" spans="1:24" x14ac:dyDescent="0.2">
      <c r="A116" s="32" t="s">
        <v>558</v>
      </c>
      <c r="B116" s="5" t="s">
        <v>561</v>
      </c>
      <c r="C116" s="5"/>
      <c r="D116" s="2"/>
      <c r="E116" s="7"/>
      <c r="F116" s="27"/>
      <c r="G116" s="7"/>
      <c r="I116" s="39"/>
      <c r="J116" s="39"/>
      <c r="K116" s="39">
        <v>245</v>
      </c>
      <c r="L116" s="39">
        <v>628</v>
      </c>
      <c r="M116" s="39">
        <v>464</v>
      </c>
      <c r="N116" s="39">
        <v>1134</v>
      </c>
      <c r="O116" s="39">
        <v>1453</v>
      </c>
      <c r="P116" s="39">
        <v>1775</v>
      </c>
      <c r="Q116" s="39">
        <v>2356</v>
      </c>
      <c r="R116" s="39">
        <v>2943</v>
      </c>
      <c r="S116" s="39">
        <v>3133</v>
      </c>
      <c r="T116" s="39">
        <v>2989</v>
      </c>
      <c r="U116" s="39">
        <v>2985</v>
      </c>
      <c r="V116" s="39">
        <v>3322</v>
      </c>
      <c r="W116" s="39">
        <v>3457</v>
      </c>
      <c r="X116" s="39">
        <v>3088</v>
      </c>
    </row>
    <row r="117" spans="1:24" x14ac:dyDescent="0.2">
      <c r="A117" s="32" t="s">
        <v>559</v>
      </c>
      <c r="B117" s="5" t="s">
        <v>725</v>
      </c>
      <c r="C117" s="5"/>
      <c r="D117" s="2"/>
      <c r="E117" s="7"/>
      <c r="F117" s="27"/>
      <c r="G117" s="7"/>
      <c r="I117" s="39"/>
      <c r="J117" s="39"/>
      <c r="K117" s="39"/>
      <c r="L117" s="39"/>
      <c r="M117" s="39"/>
      <c r="N117" s="39"/>
      <c r="O117" s="39"/>
      <c r="P117" s="39"/>
      <c r="Q117" s="39"/>
      <c r="R117" s="39">
        <v>3</v>
      </c>
      <c r="S117" s="39">
        <v>6</v>
      </c>
      <c r="T117" s="39">
        <v>17</v>
      </c>
      <c r="U117" s="39">
        <v>20</v>
      </c>
      <c r="V117" s="39">
        <v>1</v>
      </c>
      <c r="W117" s="39">
        <v>3</v>
      </c>
      <c r="X117" s="39">
        <v>3</v>
      </c>
    </row>
    <row r="118" spans="1:24" x14ac:dyDescent="0.2">
      <c r="A118" s="32" t="s">
        <v>334</v>
      </c>
      <c r="B118" s="6" t="s">
        <v>301</v>
      </c>
      <c r="C118" s="5"/>
      <c r="D118" s="2"/>
      <c r="E118" s="7"/>
      <c r="F118" s="27"/>
      <c r="G118" s="7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</row>
    <row r="119" spans="1:24" x14ac:dyDescent="0.2">
      <c r="A119" s="32" t="s">
        <v>562</v>
      </c>
      <c r="B119" s="5" t="s">
        <v>560</v>
      </c>
      <c r="C119" s="5"/>
      <c r="D119" s="2"/>
      <c r="E119" s="7"/>
      <c r="F119" s="27"/>
      <c r="G119" s="7"/>
      <c r="I119" s="39"/>
      <c r="J119" s="39"/>
      <c r="K119" s="39">
        <v>322</v>
      </c>
      <c r="L119" s="39">
        <v>434</v>
      </c>
      <c r="M119" s="39">
        <v>672</v>
      </c>
      <c r="N119" s="39">
        <v>1005</v>
      </c>
      <c r="O119" s="39">
        <v>1169</v>
      </c>
      <c r="P119" s="39">
        <v>1178</v>
      </c>
      <c r="Q119" s="39">
        <v>1108</v>
      </c>
      <c r="R119" s="39">
        <v>1153</v>
      </c>
      <c r="S119" s="39">
        <v>994</v>
      </c>
      <c r="T119" s="39">
        <v>1048</v>
      </c>
      <c r="U119" s="39">
        <v>1198</v>
      </c>
      <c r="V119" s="39">
        <f>647+437</f>
        <v>1084</v>
      </c>
      <c r="W119" s="39">
        <v>1024</v>
      </c>
      <c r="X119" s="39">
        <v>1038</v>
      </c>
    </row>
    <row r="120" spans="1:24" x14ac:dyDescent="0.2">
      <c r="A120" s="32" t="s">
        <v>563</v>
      </c>
      <c r="B120" s="5" t="s">
        <v>561</v>
      </c>
      <c r="C120" s="5"/>
      <c r="D120" s="2"/>
      <c r="E120" s="7"/>
      <c r="F120" s="27"/>
      <c r="G120" s="7"/>
      <c r="I120" s="39"/>
      <c r="J120" s="39"/>
      <c r="K120" s="39">
        <v>71</v>
      </c>
      <c r="L120" s="39">
        <v>272</v>
      </c>
      <c r="M120" s="39">
        <v>373</v>
      </c>
      <c r="N120" s="39">
        <v>998</v>
      </c>
      <c r="O120" s="39">
        <v>1315</v>
      </c>
      <c r="P120" s="39">
        <v>1616</v>
      </c>
      <c r="Q120" s="39">
        <v>2236</v>
      </c>
      <c r="R120" s="39">
        <v>2802</v>
      </c>
      <c r="S120" s="39">
        <v>2985</v>
      </c>
      <c r="T120" s="39">
        <v>2863</v>
      </c>
      <c r="U120" s="39">
        <v>2871</v>
      </c>
      <c r="V120" s="39">
        <v>3129</v>
      </c>
      <c r="W120" s="39">
        <v>3260</v>
      </c>
      <c r="X120" s="39">
        <v>2906</v>
      </c>
    </row>
    <row r="121" spans="1:24" x14ac:dyDescent="0.2">
      <c r="A121" s="32" t="s">
        <v>564</v>
      </c>
      <c r="B121" s="5" t="s">
        <v>725</v>
      </c>
      <c r="C121" s="5"/>
      <c r="D121" s="2"/>
      <c r="E121" s="7"/>
      <c r="F121" s="27"/>
      <c r="G121" s="7"/>
      <c r="I121" s="39"/>
      <c r="J121" s="39"/>
      <c r="K121" s="39"/>
      <c r="L121" s="39"/>
      <c r="M121" s="39"/>
      <c r="N121" s="39"/>
      <c r="O121" s="39"/>
      <c r="P121" s="39"/>
      <c r="Q121" s="39"/>
      <c r="R121" s="39">
        <v>2</v>
      </c>
      <c r="S121" s="39">
        <v>5</v>
      </c>
      <c r="T121" s="39">
        <v>10</v>
      </c>
      <c r="U121" s="39">
        <v>14</v>
      </c>
      <c r="V121" s="39">
        <v>1</v>
      </c>
      <c r="W121" s="39">
        <v>1</v>
      </c>
      <c r="X121" s="39">
        <v>1</v>
      </c>
    </row>
    <row r="122" spans="1:24" x14ac:dyDescent="0.2">
      <c r="A122" s="5"/>
      <c r="B122" s="5"/>
      <c r="C122" s="5"/>
      <c r="D122" s="2"/>
      <c r="E122" s="7"/>
      <c r="F122" s="27"/>
    </row>
    <row r="123" spans="1:24" x14ac:dyDescent="0.2">
      <c r="A123" s="6" t="s">
        <v>89</v>
      </c>
      <c r="B123" s="6" t="s">
        <v>90</v>
      </c>
      <c r="C123" s="5"/>
      <c r="D123" s="2"/>
      <c r="E123" s="7"/>
      <c r="F123" s="27"/>
    </row>
    <row r="124" spans="1:24" x14ac:dyDescent="0.2">
      <c r="A124" s="5"/>
      <c r="B124" s="5"/>
      <c r="C124" s="5"/>
      <c r="D124" s="2"/>
      <c r="E124" s="7"/>
      <c r="F124" s="27"/>
    </row>
    <row r="125" spans="1:24" x14ac:dyDescent="0.2">
      <c r="A125" s="6" t="s">
        <v>4</v>
      </c>
      <c r="B125" s="6" t="s">
        <v>420</v>
      </c>
      <c r="C125" s="5"/>
      <c r="D125" s="2"/>
      <c r="E125" s="7"/>
      <c r="F125" s="27"/>
    </row>
    <row r="126" spans="1:24" x14ac:dyDescent="0.2">
      <c r="A126" s="6"/>
      <c r="B126" s="6" t="s">
        <v>421</v>
      </c>
      <c r="C126" s="5"/>
      <c r="D126" s="2"/>
      <c r="E126" s="7"/>
      <c r="F126" s="27"/>
    </row>
    <row r="127" spans="1:24" hidden="1" outlineLevel="1" x14ac:dyDescent="0.2">
      <c r="A127" s="5" t="s">
        <v>5</v>
      </c>
      <c r="B127" s="5" t="s">
        <v>91</v>
      </c>
      <c r="C127" s="7">
        <f>6025</f>
        <v>6025</v>
      </c>
      <c r="D127" s="1">
        <f>5548</f>
        <v>5548</v>
      </c>
      <c r="E127" s="7">
        <v>5583</v>
      </c>
      <c r="F127" s="27"/>
      <c r="G127" s="7">
        <v>5696</v>
      </c>
      <c r="H127" s="7">
        <v>5369</v>
      </c>
      <c r="I127" s="39">
        <v>5836</v>
      </c>
      <c r="J127" s="39">
        <v>5699</v>
      </c>
      <c r="K127" s="39">
        <v>5999</v>
      </c>
      <c r="L127" s="39">
        <v>5982</v>
      </c>
      <c r="M127" s="39">
        <v>5942</v>
      </c>
      <c r="N127" s="39">
        <v>6208</v>
      </c>
      <c r="O127" s="39" t="s">
        <v>297</v>
      </c>
      <c r="P127" s="39" t="s">
        <v>329</v>
      </c>
      <c r="Q127" s="39" t="s">
        <v>329</v>
      </c>
      <c r="R127" s="39" t="s">
        <v>329</v>
      </c>
      <c r="S127" s="39" t="s">
        <v>329</v>
      </c>
      <c r="T127" s="39"/>
      <c r="U127" s="39"/>
    </row>
    <row r="128" spans="1:24" collapsed="1" x14ac:dyDescent="0.2">
      <c r="A128" s="32" t="s">
        <v>5</v>
      </c>
      <c r="B128" s="5" t="s">
        <v>92</v>
      </c>
      <c r="C128" s="7">
        <f>358</f>
        <v>358</v>
      </c>
      <c r="D128" s="1">
        <f>291</f>
        <v>291</v>
      </c>
      <c r="E128" s="7">
        <v>314</v>
      </c>
      <c r="F128" s="27"/>
      <c r="G128" s="7">
        <v>382</v>
      </c>
      <c r="H128" s="7">
        <v>451</v>
      </c>
      <c r="I128" s="39">
        <v>380</v>
      </c>
      <c r="J128" s="39">
        <v>315</v>
      </c>
      <c r="K128" s="39">
        <v>268</v>
      </c>
      <c r="L128" s="39">
        <v>243</v>
      </c>
      <c r="M128" s="39">
        <v>274</v>
      </c>
      <c r="N128" s="39">
        <v>223</v>
      </c>
      <c r="O128" s="39">
        <v>251</v>
      </c>
      <c r="P128" s="39">
        <v>247</v>
      </c>
      <c r="Q128" s="39">
        <v>227</v>
      </c>
      <c r="R128" s="39">
        <v>213</v>
      </c>
      <c r="S128" s="39">
        <v>233</v>
      </c>
      <c r="T128" s="39">
        <v>309</v>
      </c>
      <c r="U128" s="39">
        <v>175</v>
      </c>
      <c r="V128" s="39">
        <v>222</v>
      </c>
      <c r="W128" s="39">
        <v>227</v>
      </c>
      <c r="X128" s="39">
        <v>220</v>
      </c>
    </row>
    <row r="129" spans="1:24" x14ac:dyDescent="0.2">
      <c r="A129" s="32" t="s">
        <v>8</v>
      </c>
      <c r="B129" s="5" t="s">
        <v>93</v>
      </c>
      <c r="C129" s="7">
        <f>77</f>
        <v>77</v>
      </c>
      <c r="D129" s="1">
        <f>73</f>
        <v>73</v>
      </c>
      <c r="E129" s="7">
        <v>49</v>
      </c>
      <c r="F129" s="27"/>
      <c r="G129" s="7">
        <v>65</v>
      </c>
      <c r="H129" s="7">
        <v>49</v>
      </c>
      <c r="I129" s="39">
        <v>91</v>
      </c>
      <c r="J129" s="39">
        <v>66</v>
      </c>
      <c r="K129" s="39">
        <v>59</v>
      </c>
      <c r="L129" s="39">
        <v>21</v>
      </c>
      <c r="M129" s="39">
        <v>24</v>
      </c>
      <c r="N129" s="39">
        <v>31</v>
      </c>
      <c r="O129" s="39">
        <v>25</v>
      </c>
      <c r="P129" s="39">
        <v>17</v>
      </c>
      <c r="Q129" s="39">
        <v>17</v>
      </c>
      <c r="R129" s="39">
        <v>9</v>
      </c>
      <c r="S129" s="39">
        <v>8</v>
      </c>
      <c r="T129" s="39">
        <v>20</v>
      </c>
      <c r="U129" s="39">
        <v>27</v>
      </c>
      <c r="V129" s="39">
        <v>19</v>
      </c>
      <c r="W129" s="39">
        <v>31</v>
      </c>
      <c r="X129" s="39">
        <v>18</v>
      </c>
    </row>
    <row r="130" spans="1:24" x14ac:dyDescent="0.2">
      <c r="A130" s="32" t="s">
        <v>10</v>
      </c>
      <c r="B130" s="5" t="s">
        <v>585</v>
      </c>
      <c r="C130" s="5"/>
      <c r="D130" s="2"/>
      <c r="E130" s="7"/>
      <c r="F130" s="27"/>
      <c r="G130" s="7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</row>
    <row r="131" spans="1:24" x14ac:dyDescent="0.2">
      <c r="A131" s="32"/>
      <c r="B131" s="5" t="s">
        <v>586</v>
      </c>
      <c r="C131" s="7">
        <f>698</f>
        <v>698</v>
      </c>
      <c r="D131" s="1">
        <f>945</f>
        <v>945</v>
      </c>
      <c r="E131" s="7">
        <v>806</v>
      </c>
      <c r="F131" s="27"/>
      <c r="G131" s="7">
        <v>865</v>
      </c>
      <c r="H131" s="7">
        <v>880</v>
      </c>
      <c r="I131" s="39">
        <v>1020</v>
      </c>
      <c r="J131" s="39">
        <v>1121</v>
      </c>
      <c r="K131" s="39">
        <v>1135</v>
      </c>
      <c r="L131" s="39">
        <v>1089</v>
      </c>
      <c r="M131" s="39">
        <v>1129</v>
      </c>
      <c r="N131" s="39">
        <v>1188</v>
      </c>
      <c r="O131" s="39">
        <v>1403</v>
      </c>
      <c r="P131" s="39">
        <v>1393</v>
      </c>
      <c r="Q131" s="39">
        <v>1301</v>
      </c>
      <c r="R131" s="39">
        <v>1359</v>
      </c>
      <c r="S131" s="39">
        <v>1179</v>
      </c>
      <c r="T131" s="39">
        <v>166</v>
      </c>
      <c r="U131" s="39">
        <v>201</v>
      </c>
      <c r="V131" s="39">
        <v>195</v>
      </c>
      <c r="W131" s="39">
        <v>172</v>
      </c>
      <c r="X131" s="39">
        <v>332</v>
      </c>
    </row>
    <row r="132" spans="1:24" x14ac:dyDescent="0.2">
      <c r="A132" s="5"/>
      <c r="B132" s="5"/>
      <c r="C132" s="5"/>
      <c r="D132" s="2"/>
      <c r="E132" s="7"/>
      <c r="F132" s="27"/>
      <c r="G132" s="7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</row>
    <row r="133" spans="1:24" x14ac:dyDescent="0.2">
      <c r="A133" s="6" t="s">
        <v>59</v>
      </c>
      <c r="B133" s="6" t="s">
        <v>362</v>
      </c>
      <c r="C133" s="5"/>
      <c r="D133" s="2"/>
      <c r="E133" s="7"/>
      <c r="F133" s="27"/>
      <c r="G133" s="7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</row>
    <row r="134" spans="1:24" x14ac:dyDescent="0.2">
      <c r="A134" s="6"/>
      <c r="B134" s="6" t="s">
        <v>363</v>
      </c>
      <c r="C134" s="5"/>
      <c r="D134" s="2"/>
      <c r="E134" s="7"/>
      <c r="F134" s="27"/>
      <c r="G134" s="7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</row>
    <row r="135" spans="1:24" hidden="1" outlineLevel="1" x14ac:dyDescent="0.2">
      <c r="A135" s="32" t="s">
        <v>60</v>
      </c>
      <c r="B135" s="5" t="s">
        <v>307</v>
      </c>
      <c r="C135" s="5"/>
      <c r="D135" s="2"/>
      <c r="E135" s="7"/>
      <c r="F135" s="27"/>
      <c r="G135" s="7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>
        <v>23433</v>
      </c>
      <c r="T135" s="39">
        <v>22594</v>
      </c>
      <c r="U135" s="39">
        <v>21221</v>
      </c>
    </row>
    <row r="136" spans="1:24" collapsed="1" x14ac:dyDescent="0.2">
      <c r="A136" s="5" t="s">
        <v>60</v>
      </c>
      <c r="B136" s="5" t="s">
        <v>696</v>
      </c>
      <c r="C136" s="7">
        <f>22174</f>
        <v>22174</v>
      </c>
      <c r="D136" s="1">
        <f>27375</f>
        <v>27375</v>
      </c>
      <c r="E136" s="7">
        <v>28584</v>
      </c>
      <c r="F136" s="27"/>
      <c r="G136" s="7">
        <v>29182</v>
      </c>
      <c r="H136" s="7">
        <v>28224</v>
      </c>
      <c r="I136" s="39">
        <v>23250</v>
      </c>
      <c r="J136" s="39">
        <v>25434</v>
      </c>
      <c r="K136" s="39">
        <v>28141</v>
      </c>
      <c r="L136" s="111" t="s">
        <v>319</v>
      </c>
      <c r="M136" s="111"/>
      <c r="N136" s="39"/>
      <c r="O136" s="39">
        <v>20418</v>
      </c>
      <c r="P136" s="39">
        <v>19550</v>
      </c>
      <c r="Q136" s="39">
        <v>21087</v>
      </c>
      <c r="R136" s="39">
        <v>22727</v>
      </c>
      <c r="S136" s="21"/>
      <c r="T136" s="21"/>
      <c r="U136" s="21"/>
    </row>
    <row r="137" spans="1:24" x14ac:dyDescent="0.2">
      <c r="A137" s="5"/>
      <c r="B137" s="5" t="s">
        <v>697</v>
      </c>
      <c r="C137" s="7"/>
      <c r="D137" s="1"/>
      <c r="E137" s="7"/>
      <c r="F137" s="27"/>
      <c r="G137" s="7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>
        <v>23433</v>
      </c>
      <c r="T137" s="39">
        <v>22594</v>
      </c>
      <c r="U137" s="39">
        <v>21221</v>
      </c>
      <c r="V137" s="39">
        <v>19199</v>
      </c>
      <c r="W137" s="39">
        <v>20940</v>
      </c>
      <c r="X137" s="39">
        <v>21154</v>
      </c>
    </row>
    <row r="138" spans="1:24" x14ac:dyDescent="0.2">
      <c r="A138" s="5" t="s">
        <v>62</v>
      </c>
      <c r="B138" s="5" t="s">
        <v>365</v>
      </c>
      <c r="C138" s="7">
        <f>193898</f>
        <v>193898</v>
      </c>
      <c r="D138" s="1">
        <f>144444</f>
        <v>144444</v>
      </c>
      <c r="E138" s="7">
        <v>176223</v>
      </c>
      <c r="F138" s="27"/>
      <c r="G138" s="7">
        <v>198930</v>
      </c>
      <c r="H138" s="7">
        <v>249296</v>
      </c>
      <c r="I138" s="39">
        <v>241050</v>
      </c>
      <c r="J138" s="39">
        <v>184568</v>
      </c>
      <c r="K138" s="39">
        <v>189168</v>
      </c>
      <c r="L138" s="111" t="s">
        <v>319</v>
      </c>
      <c r="M138" s="111"/>
      <c r="N138" s="39"/>
      <c r="O138" s="39">
        <v>52990</v>
      </c>
      <c r="P138" s="39">
        <v>50946</v>
      </c>
      <c r="Q138" s="39">
        <v>53883</v>
      </c>
      <c r="R138" s="39">
        <v>55257</v>
      </c>
      <c r="S138" s="39">
        <v>55213</v>
      </c>
      <c r="T138" s="39">
        <v>56127</v>
      </c>
      <c r="U138" s="39">
        <v>56893</v>
      </c>
      <c r="V138" s="39">
        <v>52682</v>
      </c>
      <c r="W138" s="39">
        <v>53809</v>
      </c>
      <c r="X138" s="39">
        <v>55330</v>
      </c>
    </row>
    <row r="139" spans="1:24" hidden="1" outlineLevel="1" x14ac:dyDescent="0.2">
      <c r="A139" s="32" t="s">
        <v>63</v>
      </c>
      <c r="B139" s="5" t="s">
        <v>308</v>
      </c>
      <c r="C139" s="7"/>
      <c r="D139" s="1"/>
      <c r="E139" s="7"/>
      <c r="F139" s="27"/>
      <c r="G139" s="7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</row>
    <row r="140" spans="1:24" hidden="1" outlineLevel="1" x14ac:dyDescent="0.2">
      <c r="A140" s="32"/>
      <c r="B140" s="5" t="s">
        <v>309</v>
      </c>
      <c r="C140" s="7"/>
      <c r="D140" s="1"/>
      <c r="E140" s="7"/>
      <c r="F140" s="27"/>
      <c r="G140" s="7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>
        <v>1360</v>
      </c>
      <c r="T140" s="39">
        <v>1378</v>
      </c>
      <c r="U140" s="39">
        <v>1266</v>
      </c>
      <c r="V140" s="39"/>
      <c r="W140" s="39"/>
      <c r="X140" s="39"/>
    </row>
    <row r="141" spans="1:24" collapsed="1" x14ac:dyDescent="0.2">
      <c r="A141" s="5" t="s">
        <v>63</v>
      </c>
      <c r="B141" s="5" t="s">
        <v>308</v>
      </c>
      <c r="C141" s="5"/>
      <c r="D141" s="2"/>
      <c r="E141" s="7"/>
      <c r="F141" s="27"/>
      <c r="G141" s="7"/>
      <c r="V141" s="7"/>
      <c r="W141" s="7"/>
      <c r="X141" s="7"/>
    </row>
    <row r="142" spans="1:24" x14ac:dyDescent="0.2">
      <c r="A142" s="5"/>
      <c r="B142" s="5" t="s">
        <v>698</v>
      </c>
      <c r="C142" s="5"/>
      <c r="D142" s="2"/>
      <c r="E142" s="7"/>
      <c r="F142" s="27"/>
      <c r="G142" s="7"/>
      <c r="L142" s="111" t="s">
        <v>319</v>
      </c>
      <c r="M142" s="111"/>
      <c r="O142" s="39">
        <v>6191</v>
      </c>
      <c r="P142" s="39">
        <v>1627</v>
      </c>
      <c r="Q142" s="39">
        <v>1203</v>
      </c>
      <c r="R142" s="39">
        <v>1234</v>
      </c>
      <c r="S142" s="39">
        <v>1360</v>
      </c>
      <c r="T142" s="39">
        <v>1378</v>
      </c>
      <c r="U142" s="39">
        <v>1266</v>
      </c>
      <c r="V142" s="39">
        <v>1611</v>
      </c>
      <c r="W142" s="39">
        <v>1222</v>
      </c>
      <c r="X142" s="39">
        <v>1451</v>
      </c>
    </row>
    <row r="144" spans="1:24" x14ac:dyDescent="0.2">
      <c r="A144" s="6" t="s">
        <v>80</v>
      </c>
      <c r="B144" s="6" t="s">
        <v>413</v>
      </c>
      <c r="C144" s="7"/>
      <c r="D144" s="1"/>
      <c r="E144" s="7"/>
      <c r="F144" s="27"/>
      <c r="G144" s="7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</row>
    <row r="145" spans="1:24" x14ac:dyDescent="0.2">
      <c r="A145" s="32" t="s">
        <v>255</v>
      </c>
      <c r="B145" s="5" t="s">
        <v>587</v>
      </c>
      <c r="C145" s="5"/>
      <c r="D145" s="2"/>
      <c r="E145" s="7"/>
      <c r="F145" s="27"/>
      <c r="G145" s="7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</row>
    <row r="146" spans="1:24" x14ac:dyDescent="0.2">
      <c r="A146" s="32"/>
      <c r="B146" s="5" t="s">
        <v>588</v>
      </c>
      <c r="C146" s="7">
        <f>10672</f>
        <v>10672</v>
      </c>
      <c r="D146" s="1">
        <f>10753</f>
        <v>10753</v>
      </c>
      <c r="E146" s="7">
        <v>10824</v>
      </c>
      <c r="F146" s="27"/>
      <c r="G146" s="7">
        <v>10265</v>
      </c>
      <c r="H146" s="7">
        <v>9894</v>
      </c>
      <c r="I146" s="39">
        <v>10651</v>
      </c>
      <c r="J146" s="39">
        <v>9534</v>
      </c>
      <c r="K146" s="39">
        <v>10675</v>
      </c>
      <c r="L146" s="39">
        <v>10602</v>
      </c>
      <c r="M146" s="39">
        <v>10446</v>
      </c>
      <c r="N146" s="39">
        <v>10173</v>
      </c>
      <c r="O146" s="39">
        <v>10789</v>
      </c>
      <c r="P146" s="39">
        <v>10535</v>
      </c>
      <c r="Q146" s="39">
        <v>11765</v>
      </c>
      <c r="R146" s="39">
        <v>10766</v>
      </c>
      <c r="S146" s="39">
        <v>10622</v>
      </c>
      <c r="T146" s="39">
        <v>10894</v>
      </c>
      <c r="U146" s="39">
        <v>10164</v>
      </c>
      <c r="V146" s="39">
        <v>10448</v>
      </c>
      <c r="W146" s="39">
        <v>11046</v>
      </c>
      <c r="X146" s="39">
        <v>10326</v>
      </c>
    </row>
    <row r="147" spans="1:24" x14ac:dyDescent="0.2">
      <c r="A147" s="32" t="s">
        <v>256</v>
      </c>
      <c r="B147" s="5" t="s">
        <v>414</v>
      </c>
      <c r="C147" s="7">
        <f>12536</f>
        <v>12536</v>
      </c>
      <c r="D147" s="1">
        <f>13499</f>
        <v>13499</v>
      </c>
      <c r="E147" s="7">
        <v>13748</v>
      </c>
      <c r="F147" s="27"/>
      <c r="G147" s="7">
        <v>13561</v>
      </c>
      <c r="H147" s="7">
        <v>13608</v>
      </c>
      <c r="I147" s="39">
        <v>14833</v>
      </c>
      <c r="J147" s="39">
        <v>13842</v>
      </c>
      <c r="K147" s="39">
        <v>15116</v>
      </c>
      <c r="L147" s="39">
        <v>14885</v>
      </c>
      <c r="M147" s="39">
        <v>15045</v>
      </c>
      <c r="N147" s="39">
        <v>13092</v>
      </c>
      <c r="O147" s="39">
        <v>13588</v>
      </c>
      <c r="P147" s="39">
        <v>12127</v>
      </c>
      <c r="Q147" s="39">
        <v>10682</v>
      </c>
      <c r="R147" s="39">
        <v>12147</v>
      </c>
      <c r="S147" s="39">
        <v>12759</v>
      </c>
      <c r="T147" s="39">
        <v>14049</v>
      </c>
      <c r="U147" s="39">
        <v>15062</v>
      </c>
      <c r="V147" s="39">
        <v>16458</v>
      </c>
      <c r="W147" s="39">
        <v>16934</v>
      </c>
      <c r="X147" s="39">
        <v>16525</v>
      </c>
    </row>
    <row r="148" spans="1:24" x14ac:dyDescent="0.2">
      <c r="A148" s="32"/>
      <c r="B148" s="5"/>
      <c r="C148" s="7"/>
      <c r="D148" s="1"/>
      <c r="E148" s="7"/>
      <c r="F148" s="27"/>
      <c r="G148" s="7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</row>
    <row r="149" spans="1:24" hidden="1" outlineLevel="1" x14ac:dyDescent="0.2">
      <c r="A149" s="32"/>
      <c r="B149" s="5"/>
      <c r="C149" s="7"/>
      <c r="D149" s="1"/>
      <c r="E149" s="7"/>
      <c r="F149" s="27"/>
      <c r="G149" s="7"/>
      <c r="I149" s="39"/>
      <c r="J149" s="39"/>
      <c r="K149" s="39"/>
      <c r="L149" s="39"/>
      <c r="M149" s="39"/>
      <c r="N149" s="39"/>
      <c r="O149" s="39"/>
      <c r="P149" s="39"/>
      <c r="Q149" s="39"/>
      <c r="R149" s="38">
        <v>2006</v>
      </c>
      <c r="S149" s="38">
        <v>2007</v>
      </c>
      <c r="T149" s="38">
        <v>2008</v>
      </c>
      <c r="U149" s="38">
        <v>2009</v>
      </c>
      <c r="V149" s="38">
        <v>2010</v>
      </c>
      <c r="W149" s="38"/>
      <c r="X149" s="48"/>
    </row>
    <row r="150" spans="1:24" collapsed="1" x14ac:dyDescent="0.2">
      <c r="A150" s="6" t="s">
        <v>82</v>
      </c>
      <c r="B150" s="6" t="s">
        <v>94</v>
      </c>
      <c r="C150" s="5"/>
      <c r="D150" s="2"/>
      <c r="E150" s="7"/>
      <c r="F150" s="27"/>
      <c r="G150" s="7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</row>
    <row r="151" spans="1:24" hidden="1" outlineLevel="1" x14ac:dyDescent="0.2">
      <c r="A151" s="32" t="s">
        <v>84</v>
      </c>
      <c r="B151" s="5" t="s">
        <v>95</v>
      </c>
      <c r="C151" s="7">
        <f>23944</f>
        <v>23944</v>
      </c>
      <c r="D151" s="1">
        <f>29749</f>
        <v>29749</v>
      </c>
      <c r="E151" s="7">
        <v>30775</v>
      </c>
      <c r="F151" s="27"/>
      <c r="G151" s="7">
        <v>32184</v>
      </c>
      <c r="H151" s="7">
        <v>33811</v>
      </c>
      <c r="I151" s="39">
        <v>34207</v>
      </c>
      <c r="J151" s="39">
        <v>31575</v>
      </c>
      <c r="K151" s="39">
        <f>SUM(K154:K156)</f>
        <v>25782</v>
      </c>
      <c r="L151" s="39">
        <f>SUM(L154:L156)</f>
        <v>22761</v>
      </c>
      <c r="M151" s="39">
        <v>21995</v>
      </c>
      <c r="N151" s="39">
        <v>22146</v>
      </c>
      <c r="O151" s="39">
        <v>22638</v>
      </c>
      <c r="P151" s="39">
        <v>25925</v>
      </c>
      <c r="Q151" s="39">
        <v>28112</v>
      </c>
      <c r="R151" s="39">
        <v>26984</v>
      </c>
      <c r="S151" s="39">
        <v>25290</v>
      </c>
      <c r="T151" s="39">
        <v>26688</v>
      </c>
      <c r="U151" s="39">
        <v>25437</v>
      </c>
      <c r="V151" s="39">
        <v>24277</v>
      </c>
      <c r="W151" s="39"/>
      <c r="X151" s="39"/>
    </row>
    <row r="152" spans="1:24" hidden="1" outlineLevel="1" x14ac:dyDescent="0.2">
      <c r="A152" s="32"/>
      <c r="B152" s="5" t="s">
        <v>96</v>
      </c>
      <c r="C152" s="5"/>
      <c r="D152" s="2"/>
      <c r="E152" s="7"/>
      <c r="F152" s="27"/>
      <c r="G152" s="7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</row>
    <row r="153" spans="1:24" collapsed="1" x14ac:dyDescent="0.2">
      <c r="A153" s="32" t="s">
        <v>84</v>
      </c>
      <c r="B153" s="5" t="s">
        <v>694</v>
      </c>
      <c r="C153" s="5"/>
      <c r="D153" s="2"/>
      <c r="E153" s="7"/>
      <c r="F153" s="27"/>
      <c r="G153" s="7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</row>
    <row r="154" spans="1:24" x14ac:dyDescent="0.2">
      <c r="A154" s="32" t="s">
        <v>97</v>
      </c>
      <c r="B154" s="5" t="s">
        <v>379</v>
      </c>
      <c r="C154" s="7" t="s">
        <v>98</v>
      </c>
      <c r="D154" s="1">
        <f>9820</f>
        <v>9820</v>
      </c>
      <c r="E154" s="7">
        <v>10557</v>
      </c>
      <c r="F154" s="27"/>
      <c r="G154" s="7">
        <v>11418</v>
      </c>
      <c r="H154" s="7">
        <v>12465</v>
      </c>
      <c r="I154" s="39">
        <v>13251</v>
      </c>
      <c r="J154" s="39">
        <v>14528</v>
      </c>
      <c r="K154" s="39">
        <v>15784</v>
      </c>
      <c r="L154" s="39">
        <v>16846</v>
      </c>
      <c r="M154" s="39">
        <v>16938</v>
      </c>
      <c r="N154" s="39">
        <v>18059</v>
      </c>
      <c r="O154" s="39">
        <v>19065</v>
      </c>
      <c r="P154" s="39">
        <v>22281</v>
      </c>
      <c r="Q154" s="39">
        <v>24321</v>
      </c>
      <c r="R154" s="39">
        <v>23737</v>
      </c>
      <c r="S154" s="39">
        <v>22733</v>
      </c>
      <c r="T154" s="39">
        <v>24000</v>
      </c>
      <c r="U154" s="39">
        <v>23590</v>
      </c>
      <c r="V154" s="39">
        <v>23836</v>
      </c>
      <c r="W154" s="39">
        <v>24358</v>
      </c>
      <c r="X154" s="39">
        <v>25187</v>
      </c>
    </row>
    <row r="155" spans="1:24" x14ac:dyDescent="0.2">
      <c r="A155" s="32" t="s">
        <v>99</v>
      </c>
      <c r="B155" s="5" t="s">
        <v>700</v>
      </c>
      <c r="C155" s="7">
        <f>7473</f>
        <v>7473</v>
      </c>
      <c r="D155" s="1">
        <f>4449</f>
        <v>4449</v>
      </c>
      <c r="E155" s="7">
        <v>4453</v>
      </c>
      <c r="F155" s="27"/>
      <c r="G155" s="7">
        <v>4709</v>
      </c>
      <c r="H155" s="7">
        <v>4956</v>
      </c>
      <c r="I155" s="39">
        <v>4727</v>
      </c>
      <c r="J155" s="39">
        <v>4298</v>
      </c>
      <c r="K155" s="39">
        <v>3707</v>
      </c>
      <c r="L155" s="39">
        <v>3045</v>
      </c>
      <c r="M155" s="39">
        <v>2315</v>
      </c>
      <c r="N155" s="39">
        <v>2030</v>
      </c>
      <c r="O155" s="39">
        <v>2142</v>
      </c>
      <c r="P155" s="39">
        <v>2093</v>
      </c>
      <c r="Q155" s="39">
        <v>2085</v>
      </c>
      <c r="R155" s="39">
        <v>1696</v>
      </c>
      <c r="S155" s="39">
        <v>1171</v>
      </c>
      <c r="T155" s="39">
        <v>1178</v>
      </c>
      <c r="U155" s="39">
        <v>846</v>
      </c>
      <c r="V155" s="39">
        <v>115</v>
      </c>
      <c r="W155" s="39">
        <v>25</v>
      </c>
      <c r="X155" s="39">
        <v>9</v>
      </c>
    </row>
    <row r="156" spans="1:24" hidden="1" outlineLevel="1" x14ac:dyDescent="0.2">
      <c r="A156" s="32" t="s">
        <v>100</v>
      </c>
      <c r="B156" s="5" t="s">
        <v>695</v>
      </c>
      <c r="C156" s="7">
        <f>15093</f>
        <v>15093</v>
      </c>
      <c r="D156" s="1">
        <f>13583</f>
        <v>13583</v>
      </c>
      <c r="E156" s="7">
        <v>13855</v>
      </c>
      <c r="F156" s="27"/>
      <c r="G156" s="7">
        <v>14228</v>
      </c>
      <c r="H156" s="7">
        <v>14768</v>
      </c>
      <c r="I156" s="39">
        <v>14514</v>
      </c>
      <c r="J156" s="39">
        <v>11276</v>
      </c>
      <c r="K156" s="39">
        <v>6291</v>
      </c>
      <c r="L156" s="39">
        <v>2870</v>
      </c>
      <c r="M156" s="39">
        <v>2742</v>
      </c>
      <c r="N156" s="39">
        <v>2057</v>
      </c>
      <c r="O156" s="39">
        <v>1431</v>
      </c>
      <c r="P156" s="39">
        <v>1551</v>
      </c>
      <c r="Q156" s="39">
        <v>1706</v>
      </c>
      <c r="R156" s="39">
        <v>1551</v>
      </c>
      <c r="S156" s="39">
        <v>1386</v>
      </c>
      <c r="T156" s="39">
        <v>1510</v>
      </c>
      <c r="U156" s="39">
        <v>1001</v>
      </c>
      <c r="V156" s="39"/>
      <c r="W156" s="39"/>
      <c r="X156" s="39"/>
    </row>
    <row r="157" spans="1:24" collapsed="1" x14ac:dyDescent="0.2">
      <c r="A157" s="32" t="s">
        <v>85</v>
      </c>
      <c r="B157" s="5" t="s">
        <v>101</v>
      </c>
      <c r="C157" s="5"/>
      <c r="D157" s="2"/>
      <c r="E157" s="7"/>
      <c r="F157" s="27"/>
      <c r="G157" s="7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</row>
    <row r="158" spans="1:24" x14ac:dyDescent="0.2">
      <c r="A158" s="32" t="s">
        <v>102</v>
      </c>
      <c r="B158" s="5" t="s">
        <v>380</v>
      </c>
      <c r="C158" s="7" t="s">
        <v>98</v>
      </c>
      <c r="D158" s="1">
        <f>3402</f>
        <v>3402</v>
      </c>
      <c r="E158" s="7">
        <v>3383</v>
      </c>
      <c r="F158" s="27"/>
      <c r="G158" s="7">
        <v>3383</v>
      </c>
      <c r="H158" s="7">
        <v>3706</v>
      </c>
      <c r="I158" s="39">
        <v>4332</v>
      </c>
      <c r="J158" s="39">
        <v>5510</v>
      </c>
      <c r="K158" s="39">
        <v>5584</v>
      </c>
      <c r="L158" s="39">
        <v>6294</v>
      </c>
      <c r="M158" s="39">
        <v>6603</v>
      </c>
      <c r="N158" s="39">
        <v>7492</v>
      </c>
      <c r="O158" s="39">
        <v>7675</v>
      </c>
      <c r="P158" s="39">
        <v>7484</v>
      </c>
      <c r="Q158" s="39">
        <v>7335</v>
      </c>
      <c r="R158" s="39">
        <v>7530</v>
      </c>
      <c r="S158" s="39">
        <v>7262</v>
      </c>
      <c r="T158" s="39">
        <v>7496</v>
      </c>
      <c r="U158" s="39">
        <v>8057</v>
      </c>
      <c r="V158" s="39">
        <v>8354</v>
      </c>
      <c r="W158" s="39">
        <v>8171</v>
      </c>
      <c r="X158" s="39">
        <v>8457</v>
      </c>
    </row>
    <row r="159" spans="1:24" hidden="1" outlineLevel="1" x14ac:dyDescent="0.2">
      <c r="A159" s="32" t="s">
        <v>103</v>
      </c>
      <c r="B159" s="5" t="s">
        <v>381</v>
      </c>
      <c r="C159" s="5"/>
      <c r="D159" s="2"/>
      <c r="E159" s="7"/>
      <c r="F159" s="27"/>
      <c r="G159" s="7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</row>
    <row r="160" spans="1:24" hidden="1" outlineLevel="1" x14ac:dyDescent="0.2">
      <c r="A160" s="32"/>
      <c r="B160" s="5" t="s">
        <v>382</v>
      </c>
      <c r="C160" s="5"/>
      <c r="D160" s="2"/>
      <c r="E160" s="7"/>
      <c r="F160" s="27"/>
      <c r="G160" s="7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</row>
    <row r="161" spans="1:24" hidden="1" outlineLevel="1" x14ac:dyDescent="0.2">
      <c r="A161" s="32"/>
      <c r="B161" s="5" t="s">
        <v>383</v>
      </c>
      <c r="C161" s="7">
        <f>301</f>
        <v>301</v>
      </c>
      <c r="D161" s="1">
        <f>2308</f>
        <v>2308</v>
      </c>
      <c r="E161" s="7">
        <v>2380</v>
      </c>
      <c r="F161" s="27"/>
      <c r="G161" s="7">
        <f>69+741+1556</f>
        <v>2366</v>
      </c>
      <c r="H161" s="7">
        <v>2302</v>
      </c>
      <c r="I161" s="39">
        <v>2534</v>
      </c>
      <c r="J161" s="39">
        <f>37+996+1545+3</f>
        <v>2581</v>
      </c>
      <c r="K161" s="39">
        <f>41+838+1680+18</f>
        <v>2577</v>
      </c>
      <c r="L161" s="39">
        <v>3054</v>
      </c>
      <c r="M161" s="39">
        <v>3774</v>
      </c>
      <c r="N161" s="39">
        <f>96+1521+1913+85</f>
        <v>3615</v>
      </c>
      <c r="O161" s="39">
        <f>159+1606+2103+58</f>
        <v>3926</v>
      </c>
      <c r="P161" s="39">
        <f>58+1919+2294+76</f>
        <v>4347</v>
      </c>
      <c r="Q161" s="39">
        <f>59+2108+2527+40</f>
        <v>4734</v>
      </c>
      <c r="R161" s="39">
        <f>40+1904+529+4</f>
        <v>2477</v>
      </c>
      <c r="S161" s="39">
        <f>SUM(60+2064+2370+9)</f>
        <v>4503</v>
      </c>
      <c r="T161" s="39">
        <f>73+2118+2619+27</f>
        <v>4837</v>
      </c>
      <c r="U161" s="39">
        <f>74+2125+3029+7</f>
        <v>5235</v>
      </c>
      <c r="V161" s="39"/>
    </row>
    <row r="162" spans="1:24" collapsed="1" x14ac:dyDescent="0.2">
      <c r="A162" s="32" t="s">
        <v>103</v>
      </c>
      <c r="B162" s="5" t="s">
        <v>381</v>
      </c>
      <c r="C162" s="7"/>
      <c r="D162" s="1"/>
      <c r="E162" s="7"/>
      <c r="F162" s="27"/>
      <c r="G162" s="7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</row>
    <row r="163" spans="1:24" x14ac:dyDescent="0.2">
      <c r="A163" s="32"/>
      <c r="B163" s="5" t="s">
        <v>699</v>
      </c>
      <c r="C163" s="7"/>
      <c r="D163" s="1"/>
      <c r="E163" s="7"/>
      <c r="F163" s="27"/>
      <c r="G163" s="7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</row>
    <row r="164" spans="1:24" x14ac:dyDescent="0.2">
      <c r="A164" s="32"/>
      <c r="B164" s="5" t="s">
        <v>702</v>
      </c>
      <c r="C164" s="7"/>
      <c r="D164" s="1"/>
      <c r="E164" s="7"/>
      <c r="F164" s="27"/>
      <c r="G164" s="7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>
        <v>4503</v>
      </c>
      <c r="T164" s="39">
        <v>4837</v>
      </c>
      <c r="U164" s="39">
        <v>5235</v>
      </c>
      <c r="V164" s="39">
        <f>2226+2613+34</f>
        <v>4873</v>
      </c>
      <c r="W164" s="39">
        <f>1541+2793+336</f>
        <v>4670</v>
      </c>
      <c r="X164" s="39">
        <f>1400+2910+298</f>
        <v>4608</v>
      </c>
    </row>
    <row r="165" spans="1:24" x14ac:dyDescent="0.2">
      <c r="A165" s="32" t="s">
        <v>104</v>
      </c>
      <c r="B165" s="5" t="s">
        <v>384</v>
      </c>
      <c r="C165" s="7">
        <f>2050</f>
        <v>2050</v>
      </c>
      <c r="D165" s="1">
        <f>1995</f>
        <v>1995</v>
      </c>
      <c r="E165" s="7">
        <v>2326</v>
      </c>
      <c r="F165" s="27"/>
      <c r="G165" s="7">
        <v>2108</v>
      </c>
      <c r="H165" s="7">
        <v>2463</v>
      </c>
      <c r="I165" s="39">
        <v>3188</v>
      </c>
      <c r="J165" s="39">
        <v>1766</v>
      </c>
      <c r="K165" s="39">
        <v>825</v>
      </c>
      <c r="L165" s="39">
        <v>227</v>
      </c>
      <c r="M165" s="39">
        <v>140</v>
      </c>
      <c r="N165" s="39">
        <v>180</v>
      </c>
      <c r="O165" s="39">
        <v>227</v>
      </c>
      <c r="P165" s="39">
        <v>297</v>
      </c>
      <c r="Q165" s="39">
        <v>285</v>
      </c>
      <c r="R165" s="39">
        <v>275</v>
      </c>
      <c r="S165" s="39">
        <v>421</v>
      </c>
      <c r="T165" s="39">
        <v>420</v>
      </c>
      <c r="U165" s="39">
        <v>1019</v>
      </c>
      <c r="V165" s="39">
        <v>2772</v>
      </c>
      <c r="W165" s="39">
        <v>285</v>
      </c>
      <c r="X165" s="39">
        <v>22</v>
      </c>
    </row>
    <row r="166" spans="1:24" x14ac:dyDescent="0.2">
      <c r="A166" s="32" t="s">
        <v>105</v>
      </c>
      <c r="B166" s="5" t="s">
        <v>385</v>
      </c>
      <c r="C166" s="7">
        <f>254</f>
        <v>254</v>
      </c>
      <c r="D166" s="1">
        <f>263</f>
        <v>263</v>
      </c>
      <c r="E166" s="7">
        <v>246</v>
      </c>
      <c r="F166" s="27"/>
      <c r="G166" s="7">
        <v>281</v>
      </c>
      <c r="H166" s="7">
        <v>249</v>
      </c>
      <c r="I166" s="39">
        <v>271</v>
      </c>
      <c r="J166" s="39">
        <v>251</v>
      </c>
      <c r="K166" s="39">
        <v>240</v>
      </c>
      <c r="L166" s="39">
        <v>227</v>
      </c>
      <c r="M166" s="39">
        <v>234</v>
      </c>
      <c r="N166" s="39">
        <v>267</v>
      </c>
      <c r="O166" s="39">
        <v>327</v>
      </c>
      <c r="P166" s="39">
        <v>282</v>
      </c>
      <c r="Q166" s="39">
        <v>224</v>
      </c>
      <c r="R166" s="39">
        <v>185</v>
      </c>
      <c r="S166" s="39">
        <v>229</v>
      </c>
      <c r="T166" s="39">
        <v>249</v>
      </c>
      <c r="U166" s="39">
        <v>151</v>
      </c>
      <c r="V166" s="39" t="s">
        <v>329</v>
      </c>
      <c r="W166" s="39" t="s">
        <v>329</v>
      </c>
      <c r="X166" s="106" t="s">
        <v>329</v>
      </c>
    </row>
    <row r="167" spans="1:24" x14ac:dyDescent="0.2">
      <c r="A167" s="5"/>
      <c r="B167" s="5"/>
      <c r="C167" s="5"/>
      <c r="D167" s="2"/>
      <c r="E167" s="7"/>
      <c r="F167" s="27"/>
      <c r="G167" s="7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</row>
    <row r="168" spans="1:24" hidden="1" outlineLevel="1" x14ac:dyDescent="0.2">
      <c r="A168" s="6" t="s">
        <v>88</v>
      </c>
      <c r="B168" s="6" t="s">
        <v>106</v>
      </c>
      <c r="C168" s="5"/>
      <c r="D168" s="2"/>
      <c r="E168" s="7"/>
      <c r="F168" s="27"/>
      <c r="G168" s="7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</row>
    <row r="169" spans="1:24" hidden="1" outlineLevel="1" x14ac:dyDescent="0.2">
      <c r="A169" s="6"/>
      <c r="B169" s="6" t="s">
        <v>107</v>
      </c>
      <c r="C169" s="5"/>
      <c r="D169" s="1">
        <f>1910</f>
        <v>1910</v>
      </c>
      <c r="E169" s="7">
        <v>3942</v>
      </c>
      <c r="F169" s="27"/>
      <c r="G169" s="7">
        <v>3432</v>
      </c>
      <c r="H169" s="7">
        <v>3019</v>
      </c>
      <c r="I169" s="39">
        <v>2768</v>
      </c>
      <c r="J169" s="39">
        <v>2653</v>
      </c>
      <c r="K169" s="39">
        <v>2441</v>
      </c>
      <c r="L169" s="39">
        <v>2270</v>
      </c>
      <c r="M169" s="39">
        <v>2415</v>
      </c>
      <c r="N169" s="39">
        <v>2623</v>
      </c>
      <c r="O169" s="39">
        <v>2443</v>
      </c>
      <c r="P169" s="39">
        <v>1855</v>
      </c>
      <c r="Q169" s="39">
        <v>1692</v>
      </c>
      <c r="R169" s="39">
        <v>1527</v>
      </c>
      <c r="S169" s="39">
        <v>1334</v>
      </c>
      <c r="T169" s="39">
        <v>1247</v>
      </c>
      <c r="U169" s="39">
        <v>869</v>
      </c>
      <c r="V169" s="39"/>
    </row>
    <row r="170" spans="1:24" collapsed="1" x14ac:dyDescent="0.2">
      <c r="A170" s="6" t="s">
        <v>88</v>
      </c>
      <c r="B170" s="6" t="s">
        <v>690</v>
      </c>
      <c r="C170" s="5"/>
      <c r="D170" s="1"/>
      <c r="E170" s="7"/>
      <c r="F170" s="27"/>
      <c r="G170" s="7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>
        <v>1334</v>
      </c>
      <c r="T170" s="39">
        <v>1247</v>
      </c>
      <c r="U170" s="39">
        <v>869</v>
      </c>
      <c r="V170" s="39">
        <v>660</v>
      </c>
      <c r="W170" s="39">
        <v>422</v>
      </c>
      <c r="X170" s="39">
        <v>306</v>
      </c>
    </row>
    <row r="171" spans="1:24" x14ac:dyDescent="0.2">
      <c r="A171" s="5"/>
      <c r="B171" s="5"/>
      <c r="C171" s="7"/>
      <c r="D171" s="2"/>
      <c r="E171" s="5"/>
      <c r="F171" s="14"/>
      <c r="G171" s="7"/>
      <c r="V171" s="7"/>
    </row>
    <row r="172" spans="1:24" x14ac:dyDescent="0.2">
      <c r="A172" s="5"/>
      <c r="B172" s="5"/>
      <c r="C172" s="5">
        <f>1989</f>
        <v>1989</v>
      </c>
      <c r="D172" s="63">
        <f>1993</f>
        <v>1993</v>
      </c>
      <c r="E172" s="63">
        <f>1994</f>
        <v>1994</v>
      </c>
      <c r="F172" s="65"/>
      <c r="G172" s="63">
        <v>1995</v>
      </c>
      <c r="H172" s="63">
        <v>1996</v>
      </c>
      <c r="I172" s="42">
        <v>1997</v>
      </c>
      <c r="J172" s="42">
        <v>1998</v>
      </c>
      <c r="K172" s="42">
        <v>1999</v>
      </c>
      <c r="L172" s="42">
        <v>2000</v>
      </c>
      <c r="M172" s="42">
        <v>2001</v>
      </c>
      <c r="N172" s="42">
        <v>2002</v>
      </c>
      <c r="O172" s="42">
        <v>2003</v>
      </c>
      <c r="P172" s="42">
        <v>2004</v>
      </c>
      <c r="Q172" s="42">
        <v>2005</v>
      </c>
      <c r="R172" s="42">
        <v>2006</v>
      </c>
      <c r="S172" s="42">
        <v>2007</v>
      </c>
      <c r="T172" s="42">
        <v>2008</v>
      </c>
      <c r="U172" s="42">
        <v>2009</v>
      </c>
      <c r="V172" s="42">
        <v>2010</v>
      </c>
      <c r="W172" s="42">
        <v>2011</v>
      </c>
      <c r="X172" s="38">
        <v>2012</v>
      </c>
    </row>
    <row r="173" spans="1:24" x14ac:dyDescent="0.2">
      <c r="A173" s="6" t="s">
        <v>108</v>
      </c>
      <c r="B173" s="6" t="s">
        <v>367</v>
      </c>
      <c r="C173" s="5"/>
      <c r="D173" s="2"/>
      <c r="E173" s="5"/>
      <c r="F173" s="14"/>
      <c r="V173" s="7"/>
    </row>
    <row r="174" spans="1:24" x14ac:dyDescent="0.2">
      <c r="A174" s="5" t="s">
        <v>109</v>
      </c>
      <c r="B174" s="5" t="s">
        <v>110</v>
      </c>
      <c r="C174" s="7">
        <f>7598</f>
        <v>7598</v>
      </c>
      <c r="D174" s="1">
        <f>8551</f>
        <v>8551</v>
      </c>
      <c r="E174" s="7">
        <v>8747</v>
      </c>
      <c r="F174" s="27"/>
      <c r="G174" s="7">
        <v>8923</v>
      </c>
      <c r="H174" s="7">
        <v>9085</v>
      </c>
      <c r="I174" s="39">
        <v>9296</v>
      </c>
      <c r="J174" s="39">
        <v>9507</v>
      </c>
      <c r="K174" s="39">
        <v>9665</v>
      </c>
      <c r="L174" s="39">
        <v>9726</v>
      </c>
      <c r="M174" s="39">
        <v>9787</v>
      </c>
      <c r="N174" s="39">
        <v>9947</v>
      </c>
      <c r="O174" s="39">
        <v>10037</v>
      </c>
      <c r="P174" s="39">
        <v>10117</v>
      </c>
      <c r="Q174" s="39">
        <v>10222</v>
      </c>
      <c r="R174" s="39">
        <v>10257</v>
      </c>
      <c r="S174" s="39" t="s">
        <v>619</v>
      </c>
      <c r="T174" s="39">
        <v>9137</v>
      </c>
      <c r="U174" s="39">
        <v>9244</v>
      </c>
      <c r="V174" s="39">
        <v>9313</v>
      </c>
      <c r="W174" s="39">
        <v>9386</v>
      </c>
      <c r="X174" s="39">
        <v>9437</v>
      </c>
    </row>
    <row r="175" spans="1:24" x14ac:dyDescent="0.2">
      <c r="A175" s="5" t="s">
        <v>111</v>
      </c>
      <c r="B175" s="5" t="s">
        <v>366</v>
      </c>
      <c r="C175" s="7"/>
      <c r="D175" s="1"/>
      <c r="E175" s="7"/>
      <c r="F175" s="27"/>
      <c r="G175" s="7"/>
      <c r="I175" s="39"/>
      <c r="J175" s="39"/>
      <c r="K175" s="39"/>
      <c r="L175" s="39"/>
      <c r="M175" s="39"/>
      <c r="N175" s="39">
        <v>255</v>
      </c>
      <c r="O175" s="39">
        <v>293</v>
      </c>
      <c r="P175" s="39">
        <v>322</v>
      </c>
      <c r="Q175" s="39">
        <v>359</v>
      </c>
      <c r="R175" s="39">
        <v>396</v>
      </c>
      <c r="S175" s="39" t="s">
        <v>375</v>
      </c>
      <c r="T175" s="39">
        <v>456</v>
      </c>
      <c r="U175" s="39">
        <v>475</v>
      </c>
      <c r="V175" s="39">
        <v>525</v>
      </c>
      <c r="W175" s="39">
        <v>572</v>
      </c>
      <c r="X175" s="39">
        <v>595</v>
      </c>
    </row>
    <row r="176" spans="1:24" x14ac:dyDescent="0.2">
      <c r="A176" s="5" t="s">
        <v>112</v>
      </c>
      <c r="B176" s="5" t="s">
        <v>368</v>
      </c>
      <c r="C176" s="5"/>
      <c r="D176" s="2"/>
      <c r="E176" s="7"/>
      <c r="F176" s="27"/>
      <c r="G176" s="7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</row>
    <row r="177" spans="1:24" hidden="1" outlineLevel="1" x14ac:dyDescent="0.2">
      <c r="A177" s="32" t="s">
        <v>606</v>
      </c>
      <c r="B177" s="5" t="s">
        <v>397</v>
      </c>
      <c r="C177" s="5"/>
      <c r="D177" s="2"/>
      <c r="E177" s="7"/>
      <c r="F177" s="27"/>
      <c r="G177" s="7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</row>
    <row r="178" spans="1:24" hidden="1" outlineLevel="1" x14ac:dyDescent="0.2">
      <c r="A178" s="5"/>
      <c r="B178" s="5" t="s">
        <v>398</v>
      </c>
      <c r="C178" s="7">
        <f>17008</f>
        <v>17008</v>
      </c>
      <c r="D178" s="1">
        <f>17199</f>
        <v>17199</v>
      </c>
      <c r="E178" s="7">
        <v>17212</v>
      </c>
      <c r="F178" s="27"/>
      <c r="G178" s="7">
        <v>17290</v>
      </c>
      <c r="H178" s="7">
        <v>17109</v>
      </c>
      <c r="I178" s="39">
        <v>17309</v>
      </c>
      <c r="J178" s="39">
        <v>17562</v>
      </c>
      <c r="K178" s="39">
        <v>18183</v>
      </c>
      <c r="L178" s="39">
        <v>18676</v>
      </c>
      <c r="M178" s="39">
        <v>19179</v>
      </c>
      <c r="N178" s="39">
        <v>19733</v>
      </c>
      <c r="O178" s="39">
        <v>20022</v>
      </c>
      <c r="P178" s="39">
        <v>20430</v>
      </c>
      <c r="Q178" s="39">
        <v>21146</v>
      </c>
      <c r="R178" s="39">
        <v>22085</v>
      </c>
      <c r="S178" s="39" t="s">
        <v>376</v>
      </c>
      <c r="T178" s="51" t="s">
        <v>329</v>
      </c>
      <c r="U178" s="51"/>
      <c r="V178" s="51"/>
      <c r="W178" s="51"/>
      <c r="X178" s="51"/>
    </row>
    <row r="179" spans="1:24" collapsed="1" x14ac:dyDescent="0.2">
      <c r="A179" s="32" t="s">
        <v>369</v>
      </c>
      <c r="B179" s="5" t="s">
        <v>717</v>
      </c>
      <c r="C179" s="7"/>
      <c r="D179" s="1"/>
      <c r="E179" s="7"/>
      <c r="F179" s="27"/>
      <c r="G179" s="7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51">
        <v>7478</v>
      </c>
      <c r="U179" s="51">
        <v>7420</v>
      </c>
      <c r="V179" s="51">
        <v>7414</v>
      </c>
      <c r="W179" s="51">
        <v>7349</v>
      </c>
      <c r="X179" s="51">
        <v>7223</v>
      </c>
    </row>
    <row r="180" spans="1:24" x14ac:dyDescent="0.2">
      <c r="A180" s="32" t="s">
        <v>370</v>
      </c>
      <c r="B180" s="5" t="s">
        <v>718</v>
      </c>
      <c r="C180" s="7"/>
      <c r="D180" s="1"/>
      <c r="E180" s="7"/>
      <c r="F180" s="27"/>
      <c r="G180" s="7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51">
        <v>1319</v>
      </c>
      <c r="U180" s="51">
        <v>1275</v>
      </c>
      <c r="V180" s="51">
        <v>1257</v>
      </c>
      <c r="W180" s="51">
        <v>1217</v>
      </c>
      <c r="X180" s="51">
        <v>1164</v>
      </c>
    </row>
    <row r="181" spans="1:24" x14ac:dyDescent="0.2">
      <c r="A181" s="32" t="s">
        <v>371</v>
      </c>
      <c r="B181" s="5" t="s">
        <v>719</v>
      </c>
      <c r="C181" s="7"/>
      <c r="D181" s="1"/>
      <c r="E181" s="7"/>
      <c r="F181" s="27"/>
      <c r="G181" s="7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51">
        <v>12923</v>
      </c>
      <c r="U181" s="51">
        <v>13015</v>
      </c>
      <c r="V181" s="51">
        <v>13224</v>
      </c>
      <c r="W181" s="51">
        <v>13431</v>
      </c>
      <c r="X181" s="51">
        <v>13684</v>
      </c>
    </row>
    <row r="182" spans="1:24" x14ac:dyDescent="0.2">
      <c r="A182" s="32" t="s">
        <v>372</v>
      </c>
      <c r="B182" s="5" t="s">
        <v>720</v>
      </c>
      <c r="C182" s="7"/>
      <c r="D182" s="1"/>
      <c r="E182" s="7"/>
      <c r="F182" s="27"/>
      <c r="G182" s="7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51">
        <v>10</v>
      </c>
      <c r="U182" s="51">
        <v>12</v>
      </c>
      <c r="V182" s="51">
        <v>12</v>
      </c>
      <c r="W182" s="51">
        <v>13</v>
      </c>
      <c r="X182" s="51">
        <v>13</v>
      </c>
    </row>
    <row r="183" spans="1:24" x14ac:dyDescent="0.2">
      <c r="A183" s="32" t="s">
        <v>373</v>
      </c>
      <c r="B183" s="5" t="s">
        <v>721</v>
      </c>
      <c r="C183" s="7"/>
      <c r="D183" s="1"/>
      <c r="E183" s="7"/>
      <c r="F183" s="27"/>
      <c r="G183" s="7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51">
        <v>3</v>
      </c>
      <c r="U183" s="51">
        <v>4</v>
      </c>
      <c r="V183" s="51">
        <v>4</v>
      </c>
      <c r="W183" s="51">
        <v>4</v>
      </c>
      <c r="X183" s="51">
        <v>4</v>
      </c>
    </row>
    <row r="184" spans="1:24" x14ac:dyDescent="0.2">
      <c r="A184" s="32" t="s">
        <v>607</v>
      </c>
      <c r="B184" s="5" t="s">
        <v>722</v>
      </c>
      <c r="C184" s="7"/>
      <c r="D184" s="1"/>
      <c r="E184" s="7"/>
      <c r="F184" s="27"/>
      <c r="G184" s="7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51">
        <v>10</v>
      </c>
      <c r="U184" s="51">
        <v>10</v>
      </c>
      <c r="V184" s="51">
        <v>8</v>
      </c>
      <c r="W184" s="51">
        <v>14</v>
      </c>
      <c r="X184" s="51">
        <v>14</v>
      </c>
    </row>
    <row r="185" spans="1:24" x14ac:dyDescent="0.2">
      <c r="A185" s="32" t="s">
        <v>608</v>
      </c>
      <c r="B185" s="5" t="s">
        <v>399</v>
      </c>
      <c r="C185" s="7">
        <f>423</f>
        <v>423</v>
      </c>
      <c r="D185" s="1">
        <f>494</f>
        <v>494</v>
      </c>
      <c r="E185" s="7">
        <v>514</v>
      </c>
      <c r="F185" s="27"/>
      <c r="G185" s="7">
        <v>530</v>
      </c>
      <c r="H185" s="7">
        <v>563</v>
      </c>
      <c r="I185" s="39">
        <v>571</v>
      </c>
      <c r="J185" s="39">
        <v>620</v>
      </c>
      <c r="K185" s="39">
        <v>880</v>
      </c>
      <c r="L185" s="39">
        <v>1280</v>
      </c>
      <c r="M185" s="39">
        <v>1467</v>
      </c>
      <c r="N185" s="39">
        <v>1517</v>
      </c>
      <c r="O185" s="39">
        <v>1474</v>
      </c>
      <c r="P185" s="39">
        <v>1420</v>
      </c>
      <c r="Q185" s="39">
        <v>1380</v>
      </c>
      <c r="R185" s="39">
        <v>1389</v>
      </c>
      <c r="S185" s="39" t="s">
        <v>620</v>
      </c>
      <c r="T185" s="39">
        <v>1010</v>
      </c>
      <c r="U185" s="39">
        <v>979</v>
      </c>
      <c r="V185" s="39">
        <v>954</v>
      </c>
      <c r="W185" s="39">
        <v>940</v>
      </c>
      <c r="X185" s="39">
        <v>913</v>
      </c>
    </row>
    <row r="186" spans="1:24" x14ac:dyDescent="0.2">
      <c r="A186" s="32" t="s">
        <v>609</v>
      </c>
      <c r="B186" s="5" t="s">
        <v>400</v>
      </c>
      <c r="C186" s="7">
        <f>10</f>
        <v>10</v>
      </c>
      <c r="D186" s="1">
        <f>11</f>
        <v>11</v>
      </c>
      <c r="E186" s="7">
        <v>12</v>
      </c>
      <c r="F186" s="27"/>
      <c r="G186" s="7">
        <v>12</v>
      </c>
      <c r="H186" s="7">
        <v>12</v>
      </c>
      <c r="I186" s="39">
        <v>12</v>
      </c>
      <c r="J186" s="39">
        <v>12</v>
      </c>
      <c r="K186" s="39">
        <v>13</v>
      </c>
      <c r="L186" s="39">
        <v>16</v>
      </c>
      <c r="M186" s="39">
        <v>18</v>
      </c>
      <c r="N186" s="39">
        <v>20</v>
      </c>
      <c r="O186" s="39">
        <v>20</v>
      </c>
      <c r="P186" s="39">
        <v>21</v>
      </c>
      <c r="Q186" s="39">
        <v>20</v>
      </c>
      <c r="R186" s="39">
        <v>21</v>
      </c>
      <c r="S186" s="39" t="s">
        <v>377</v>
      </c>
      <c r="T186" s="39">
        <v>7</v>
      </c>
      <c r="U186" s="39">
        <v>8</v>
      </c>
      <c r="V186" s="39">
        <v>7</v>
      </c>
      <c r="W186" s="39">
        <v>8</v>
      </c>
      <c r="X186" s="39">
        <v>11</v>
      </c>
    </row>
    <row r="187" spans="1:24" x14ac:dyDescent="0.2">
      <c r="A187" s="32" t="s">
        <v>610</v>
      </c>
      <c r="B187" s="5" t="s">
        <v>401</v>
      </c>
      <c r="C187" s="7">
        <f>21471</f>
        <v>21471</v>
      </c>
      <c r="D187" s="1">
        <f>27646</f>
        <v>27646</v>
      </c>
      <c r="E187" s="7">
        <v>28772</v>
      </c>
      <c r="F187" s="27"/>
      <c r="G187" s="7">
        <v>29887</v>
      </c>
      <c r="H187" s="7">
        <v>29722</v>
      </c>
      <c r="I187" s="39">
        <v>30535</v>
      </c>
      <c r="J187" s="39">
        <v>31688</v>
      </c>
      <c r="K187" s="39">
        <v>33706</v>
      </c>
      <c r="L187" s="39">
        <v>35394</v>
      </c>
      <c r="M187" s="39">
        <v>37165</v>
      </c>
      <c r="N187" s="39">
        <v>38476</v>
      </c>
      <c r="O187" s="39">
        <v>38615</v>
      </c>
      <c r="P187" s="39">
        <v>38703</v>
      </c>
      <c r="Q187" s="39">
        <v>39419</v>
      </c>
      <c r="R187" s="39">
        <v>40405</v>
      </c>
      <c r="S187" s="39" t="s">
        <v>621</v>
      </c>
      <c r="T187" s="39">
        <v>40854</v>
      </c>
      <c r="U187" s="39">
        <v>42387</v>
      </c>
      <c r="V187" s="39">
        <v>44005</v>
      </c>
      <c r="W187" s="39">
        <v>45896</v>
      </c>
      <c r="X187" s="39">
        <v>47373</v>
      </c>
    </row>
    <row r="188" spans="1:24" x14ac:dyDescent="0.2">
      <c r="A188" s="32" t="s">
        <v>611</v>
      </c>
      <c r="B188" s="5" t="s">
        <v>402</v>
      </c>
      <c r="C188" s="7">
        <f>17</f>
        <v>17</v>
      </c>
      <c r="D188" s="1">
        <f>18</f>
        <v>18</v>
      </c>
      <c r="E188" s="7">
        <v>18</v>
      </c>
      <c r="F188" s="27"/>
      <c r="G188" s="7">
        <v>19</v>
      </c>
      <c r="H188" s="7">
        <v>20</v>
      </c>
      <c r="I188" s="39">
        <v>21</v>
      </c>
      <c r="J188" s="39">
        <v>21</v>
      </c>
      <c r="K188" s="39">
        <v>21</v>
      </c>
      <c r="L188" s="39">
        <v>21</v>
      </c>
      <c r="M188" s="39">
        <v>21</v>
      </c>
      <c r="N188" s="39">
        <v>21</v>
      </c>
      <c r="O188" s="39">
        <v>21</v>
      </c>
      <c r="P188" s="39">
        <v>21</v>
      </c>
      <c r="Q188" s="39">
        <v>21</v>
      </c>
      <c r="R188" s="39">
        <v>21</v>
      </c>
      <c r="S188" s="39" t="s">
        <v>378</v>
      </c>
      <c r="T188" s="39">
        <v>6</v>
      </c>
      <c r="U188" s="39">
        <v>6</v>
      </c>
      <c r="V188" s="39">
        <v>6</v>
      </c>
      <c r="W188" s="39">
        <v>5</v>
      </c>
      <c r="X188" s="39">
        <v>5</v>
      </c>
    </row>
    <row r="189" spans="1:24" x14ac:dyDescent="0.2">
      <c r="A189" s="32" t="s">
        <v>612</v>
      </c>
      <c r="B189" s="5" t="s">
        <v>723</v>
      </c>
      <c r="C189" s="7"/>
      <c r="D189" s="1"/>
      <c r="E189" s="7"/>
      <c r="F189" s="27"/>
      <c r="G189" s="7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>
        <v>1</v>
      </c>
      <c r="U189" s="39">
        <v>2</v>
      </c>
      <c r="V189" s="39">
        <v>6</v>
      </c>
      <c r="W189" s="39">
        <v>9</v>
      </c>
      <c r="X189" s="39">
        <v>9</v>
      </c>
    </row>
    <row r="190" spans="1:24" x14ac:dyDescent="0.2">
      <c r="A190" s="32" t="s">
        <v>613</v>
      </c>
      <c r="B190" s="5" t="s">
        <v>724</v>
      </c>
      <c r="C190" s="7"/>
      <c r="D190" s="1"/>
      <c r="E190" s="7"/>
      <c r="F190" s="27"/>
      <c r="G190" s="7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>
        <v>621</v>
      </c>
      <c r="U190" s="39">
        <v>632</v>
      </c>
      <c r="V190" s="39">
        <v>559</v>
      </c>
      <c r="W190" s="39">
        <v>505</v>
      </c>
      <c r="X190" s="39">
        <v>472</v>
      </c>
    </row>
    <row r="191" spans="1:24" x14ac:dyDescent="0.2">
      <c r="A191" s="32" t="s">
        <v>113</v>
      </c>
      <c r="B191" s="5" t="s">
        <v>117</v>
      </c>
      <c r="C191" s="7">
        <f>102</f>
        <v>102</v>
      </c>
      <c r="D191" s="1">
        <f>106</f>
        <v>106</v>
      </c>
      <c r="E191" s="7">
        <v>109</v>
      </c>
      <c r="F191" s="27"/>
      <c r="G191" s="7">
        <v>112</v>
      </c>
      <c r="H191" s="7">
        <v>116</v>
      </c>
      <c r="I191" s="39">
        <v>114</v>
      </c>
      <c r="J191" s="39">
        <v>115</v>
      </c>
      <c r="K191" s="39">
        <v>117</v>
      </c>
      <c r="L191" s="39">
        <v>117</v>
      </c>
      <c r="M191" s="39">
        <v>111</v>
      </c>
      <c r="N191" s="39">
        <v>113</v>
      </c>
      <c r="O191" s="39">
        <v>113</v>
      </c>
      <c r="P191" s="39">
        <v>113</v>
      </c>
      <c r="Q191" s="39">
        <v>112</v>
      </c>
      <c r="R191" s="39">
        <v>110</v>
      </c>
      <c r="S191" s="39">
        <v>109</v>
      </c>
      <c r="T191" s="39">
        <v>109</v>
      </c>
      <c r="U191" s="39">
        <v>111</v>
      </c>
      <c r="V191" s="39">
        <v>116</v>
      </c>
      <c r="W191" s="39">
        <v>128</v>
      </c>
      <c r="X191" s="39">
        <v>130</v>
      </c>
    </row>
    <row r="192" spans="1:24" x14ac:dyDescent="0.2">
      <c r="A192" s="32" t="s">
        <v>114</v>
      </c>
      <c r="B192" s="5" t="s">
        <v>118</v>
      </c>
      <c r="C192" s="7">
        <f>3386</f>
        <v>3386</v>
      </c>
      <c r="D192" s="1">
        <f>3656</f>
        <v>3656</v>
      </c>
      <c r="E192" s="7">
        <v>3706</v>
      </c>
      <c r="F192" s="27"/>
      <c r="G192" s="7">
        <v>3771</v>
      </c>
      <c r="H192" s="7">
        <v>3797</v>
      </c>
      <c r="I192" s="39">
        <v>3866</v>
      </c>
      <c r="J192" s="39">
        <v>3904</v>
      </c>
      <c r="K192" s="39">
        <v>3893</v>
      </c>
      <c r="L192" s="39">
        <v>3918</v>
      </c>
      <c r="M192" s="39">
        <v>3996</v>
      </c>
      <c r="N192" s="39">
        <v>4019</v>
      </c>
      <c r="O192" s="39">
        <v>4090</v>
      </c>
      <c r="P192" s="39">
        <v>4189</v>
      </c>
      <c r="Q192" s="39">
        <v>4407</v>
      </c>
      <c r="R192" s="39">
        <v>4709</v>
      </c>
      <c r="S192" s="39">
        <v>4939</v>
      </c>
      <c r="T192" s="39">
        <v>5152</v>
      </c>
      <c r="U192" s="39">
        <v>5348</v>
      </c>
      <c r="V192" s="39">
        <v>5497</v>
      </c>
      <c r="W192" s="39">
        <v>5608</v>
      </c>
      <c r="X192" s="39">
        <v>5564</v>
      </c>
    </row>
    <row r="193" spans="1:24" x14ac:dyDescent="0.2">
      <c r="A193" s="32" t="s">
        <v>115</v>
      </c>
      <c r="B193" s="5" t="s">
        <v>119</v>
      </c>
      <c r="C193" s="7">
        <f>3048</f>
        <v>3048</v>
      </c>
      <c r="D193" s="1">
        <f>2844</f>
        <v>2844</v>
      </c>
      <c r="E193" s="7">
        <v>2828</v>
      </c>
      <c r="F193" s="27"/>
      <c r="G193" s="7">
        <v>2807</v>
      </c>
      <c r="H193" s="7">
        <v>2757</v>
      </c>
      <c r="I193" s="39">
        <v>2406</v>
      </c>
      <c r="J193" s="39">
        <v>2284</v>
      </c>
      <c r="K193" s="39">
        <v>2152</v>
      </c>
      <c r="L193" s="39">
        <v>2074</v>
      </c>
      <c r="M193" s="39">
        <v>2026</v>
      </c>
      <c r="N193" s="39">
        <v>2017</v>
      </c>
      <c r="O193" s="39">
        <v>2007</v>
      </c>
      <c r="P193" s="39">
        <v>1974</v>
      </c>
      <c r="Q193" s="39">
        <v>1971</v>
      </c>
      <c r="R193" s="39">
        <v>1968</v>
      </c>
      <c r="S193" s="39">
        <v>1957</v>
      </c>
      <c r="T193" s="39">
        <v>1956</v>
      </c>
      <c r="U193" s="39">
        <v>1937</v>
      </c>
      <c r="V193" s="39">
        <v>1942</v>
      </c>
      <c r="W193" s="39">
        <v>1942</v>
      </c>
      <c r="X193" s="39">
        <v>1931</v>
      </c>
    </row>
    <row r="194" spans="1:24" x14ac:dyDescent="0.2">
      <c r="A194" s="32" t="s">
        <v>116</v>
      </c>
      <c r="B194" s="5" t="s">
        <v>120</v>
      </c>
      <c r="C194" s="7">
        <f>19</f>
        <v>19</v>
      </c>
      <c r="D194" s="1">
        <f>17</f>
        <v>17</v>
      </c>
      <c r="E194" s="7">
        <v>19</v>
      </c>
      <c r="F194" s="27"/>
      <c r="G194" s="7">
        <v>19</v>
      </c>
      <c r="H194" s="7">
        <v>15</v>
      </c>
      <c r="I194" s="39">
        <v>17</v>
      </c>
      <c r="J194" s="39">
        <v>15</v>
      </c>
      <c r="K194" s="39">
        <v>16</v>
      </c>
      <c r="L194" s="39">
        <v>14</v>
      </c>
      <c r="M194" s="39">
        <v>15</v>
      </c>
      <c r="N194" s="39">
        <v>15</v>
      </c>
      <c r="O194" s="39">
        <v>16</v>
      </c>
      <c r="P194" s="39">
        <v>21</v>
      </c>
      <c r="Q194" s="39">
        <v>29</v>
      </c>
      <c r="R194" s="39">
        <v>46</v>
      </c>
      <c r="S194" s="39">
        <v>48</v>
      </c>
      <c r="T194" s="39">
        <v>46</v>
      </c>
      <c r="U194" s="39">
        <v>43</v>
      </c>
      <c r="V194" s="39">
        <v>41</v>
      </c>
      <c r="W194" s="39">
        <v>46</v>
      </c>
      <c r="X194" s="39">
        <v>46</v>
      </c>
    </row>
    <row r="195" spans="1:24" x14ac:dyDescent="0.2">
      <c r="A195" s="5"/>
      <c r="B195" s="5"/>
      <c r="C195" s="5"/>
      <c r="D195" s="2"/>
      <c r="E195" s="7"/>
      <c r="F195" s="27"/>
      <c r="G195" s="7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</row>
    <row r="196" spans="1:24" x14ac:dyDescent="0.2">
      <c r="A196" s="6" t="s">
        <v>121</v>
      </c>
      <c r="B196" s="6" t="s">
        <v>122</v>
      </c>
      <c r="C196" s="5">
        <f>61</f>
        <v>61</v>
      </c>
      <c r="D196" s="1">
        <f>82</f>
        <v>82</v>
      </c>
      <c r="E196" s="7">
        <v>73</v>
      </c>
      <c r="F196" s="27"/>
      <c r="G196" s="7">
        <v>101</v>
      </c>
      <c r="H196" s="7">
        <v>58</v>
      </c>
      <c r="I196" s="39">
        <v>67</v>
      </c>
      <c r="J196" s="39">
        <v>70</v>
      </c>
      <c r="K196" s="39">
        <v>74</v>
      </c>
      <c r="L196" s="39">
        <v>59</v>
      </c>
      <c r="M196" s="39">
        <v>64</v>
      </c>
      <c r="N196" s="39">
        <v>42</v>
      </c>
      <c r="O196" s="39">
        <v>74</v>
      </c>
      <c r="P196" s="39">
        <v>66</v>
      </c>
      <c r="Q196" s="39">
        <v>58</v>
      </c>
      <c r="R196" s="39">
        <v>56</v>
      </c>
      <c r="S196" s="39">
        <v>67</v>
      </c>
      <c r="T196" s="39">
        <v>51</v>
      </c>
      <c r="U196" s="39">
        <v>45</v>
      </c>
      <c r="V196" s="39">
        <v>33</v>
      </c>
      <c r="W196" s="39">
        <v>58</v>
      </c>
      <c r="X196" s="39">
        <v>52</v>
      </c>
    </row>
    <row r="197" spans="1:24" hidden="1" outlineLevel="1" x14ac:dyDescent="0.2">
      <c r="A197" s="6" t="s">
        <v>123</v>
      </c>
      <c r="B197" s="6" t="s">
        <v>124</v>
      </c>
      <c r="C197" s="5"/>
      <c r="D197" s="2"/>
      <c r="E197" s="7"/>
      <c r="F197" s="27"/>
      <c r="G197" s="7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</row>
    <row r="198" spans="1:24" hidden="1" outlineLevel="1" x14ac:dyDescent="0.2">
      <c r="A198" s="6" t="s">
        <v>4</v>
      </c>
      <c r="B198" s="6" t="s">
        <v>125</v>
      </c>
      <c r="C198" s="7">
        <f>5073</f>
        <v>5073</v>
      </c>
      <c r="D198" s="1">
        <f>6444</f>
        <v>6444</v>
      </c>
      <c r="E198" s="7">
        <v>5252</v>
      </c>
      <c r="F198" s="27"/>
      <c r="G198" s="7">
        <f>1651+3752</f>
        <v>5403</v>
      </c>
      <c r="H198" s="7">
        <v>5349</v>
      </c>
      <c r="I198" s="39">
        <v>5265</v>
      </c>
      <c r="J198" s="39">
        <f t="shared" ref="J198:O198" si="0">J201+J202</f>
        <v>5357</v>
      </c>
      <c r="K198" s="39">
        <f t="shared" si="0"/>
        <v>4603</v>
      </c>
      <c r="L198" s="39">
        <f t="shared" si="0"/>
        <v>4662</v>
      </c>
      <c r="M198" s="39">
        <f t="shared" si="0"/>
        <v>4370</v>
      </c>
      <c r="N198" s="39">
        <f t="shared" si="0"/>
        <v>3931</v>
      </c>
      <c r="O198" s="39">
        <f t="shared" si="0"/>
        <v>4244</v>
      </c>
      <c r="P198" s="39"/>
      <c r="Q198" s="39"/>
      <c r="R198" s="39"/>
      <c r="S198" s="39"/>
      <c r="T198" s="39"/>
      <c r="U198" s="39"/>
      <c r="V198" s="39"/>
      <c r="W198" s="39"/>
      <c r="X198" s="39"/>
    </row>
    <row r="199" spans="1:24" hidden="1" outlineLevel="1" x14ac:dyDescent="0.2">
      <c r="A199" s="6"/>
      <c r="B199" s="6" t="s">
        <v>126</v>
      </c>
      <c r="C199" s="5"/>
      <c r="D199" s="2"/>
      <c r="E199" s="7"/>
      <c r="F199" s="27"/>
      <c r="G199" s="7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</row>
    <row r="200" spans="1:24" hidden="1" outlineLevel="1" x14ac:dyDescent="0.2">
      <c r="A200" s="5"/>
      <c r="B200" s="5" t="s">
        <v>127</v>
      </c>
      <c r="C200" s="5"/>
      <c r="D200" s="2"/>
      <c r="E200" s="7"/>
      <c r="F200" s="27"/>
      <c r="G200" s="7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</row>
    <row r="201" spans="1:24" hidden="1" outlineLevel="1" x14ac:dyDescent="0.2">
      <c r="A201" s="5" t="s">
        <v>5</v>
      </c>
      <c r="B201" s="5" t="s">
        <v>128</v>
      </c>
      <c r="C201" s="7">
        <f>2136</f>
        <v>2136</v>
      </c>
      <c r="D201" s="1">
        <f>1743</f>
        <v>1743</v>
      </c>
      <c r="E201" s="7">
        <v>1813</v>
      </c>
      <c r="F201" s="27"/>
      <c r="G201" s="7">
        <v>1651</v>
      </c>
      <c r="H201" s="7">
        <v>1814</v>
      </c>
      <c r="I201" s="39">
        <v>1625</v>
      </c>
      <c r="J201" s="39">
        <v>1724</v>
      </c>
      <c r="K201" s="39">
        <v>1542</v>
      </c>
      <c r="L201" s="39">
        <v>1480</v>
      </c>
      <c r="M201" s="39">
        <v>1625</v>
      </c>
      <c r="N201" s="39">
        <v>1731</v>
      </c>
      <c r="O201" s="39">
        <v>1534</v>
      </c>
      <c r="P201" s="39"/>
      <c r="Q201" s="39"/>
      <c r="R201" s="39"/>
      <c r="S201" s="39"/>
      <c r="T201" s="39"/>
      <c r="U201" s="39"/>
      <c r="V201" s="39"/>
      <c r="W201" s="39"/>
      <c r="X201" s="39"/>
    </row>
    <row r="202" spans="1:24" hidden="1" outlineLevel="1" x14ac:dyDescent="0.2">
      <c r="A202" s="5" t="s">
        <v>8</v>
      </c>
      <c r="B202" s="5" t="s">
        <v>129</v>
      </c>
      <c r="C202" s="7">
        <f>2937</f>
        <v>2937</v>
      </c>
      <c r="D202" s="1">
        <f>3330</f>
        <v>3330</v>
      </c>
      <c r="E202" s="7">
        <v>3439</v>
      </c>
      <c r="F202" s="27"/>
      <c r="G202" s="7">
        <v>3752</v>
      </c>
      <c r="H202" s="7">
        <v>3535</v>
      </c>
      <c r="I202" s="39">
        <v>3640</v>
      </c>
      <c r="J202" s="39">
        <v>3633</v>
      </c>
      <c r="K202" s="39">
        <v>3061</v>
      </c>
      <c r="L202" s="39">
        <v>3182</v>
      </c>
      <c r="M202" s="39">
        <v>2745</v>
      </c>
      <c r="N202" s="39">
        <v>2200</v>
      </c>
      <c r="O202" s="39">
        <v>2710</v>
      </c>
      <c r="P202" s="39"/>
      <c r="Q202" s="39"/>
      <c r="R202" s="39"/>
      <c r="S202" s="39"/>
      <c r="T202" s="39"/>
      <c r="U202" s="39"/>
      <c r="V202" s="39"/>
      <c r="W202" s="39"/>
      <c r="X202" s="39"/>
    </row>
    <row r="203" spans="1:24" hidden="1" outlineLevel="1" x14ac:dyDescent="0.2">
      <c r="A203" s="6" t="s">
        <v>59</v>
      </c>
      <c r="B203" s="6" t="s">
        <v>130</v>
      </c>
      <c r="C203" s="7">
        <f>1191</f>
        <v>1191</v>
      </c>
      <c r="D203" s="1">
        <f>1371</f>
        <v>1371</v>
      </c>
      <c r="E203" s="7">
        <v>1855</v>
      </c>
      <c r="F203" s="27"/>
      <c r="G203" s="7">
        <v>3776</v>
      </c>
      <c r="H203" s="7">
        <v>2544</v>
      </c>
      <c r="I203" s="39">
        <v>3659</v>
      </c>
      <c r="J203" s="39">
        <v>4549</v>
      </c>
      <c r="K203" s="39">
        <v>4931</v>
      </c>
      <c r="L203" s="39">
        <v>5158</v>
      </c>
      <c r="M203" s="39">
        <v>3278</v>
      </c>
      <c r="N203" s="39">
        <v>3521</v>
      </c>
      <c r="O203" s="39">
        <v>5021</v>
      </c>
      <c r="P203" s="39"/>
      <c r="Q203" s="39"/>
      <c r="R203" s="39"/>
      <c r="S203" s="39"/>
      <c r="T203" s="39"/>
      <c r="U203" s="39"/>
      <c r="V203" s="39"/>
      <c r="W203" s="39"/>
      <c r="X203" s="39"/>
    </row>
    <row r="204" spans="1:24" collapsed="1" x14ac:dyDescent="0.2">
      <c r="A204" s="5"/>
      <c r="B204" s="5"/>
      <c r="C204" s="5"/>
      <c r="D204" s="2"/>
      <c r="E204" s="7"/>
      <c r="F204" s="27"/>
      <c r="G204" s="7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</row>
    <row r="205" spans="1:24" x14ac:dyDescent="0.2">
      <c r="A205" s="6" t="s">
        <v>239</v>
      </c>
      <c r="B205" s="6" t="s">
        <v>131</v>
      </c>
      <c r="C205" s="7">
        <f>1134</f>
        <v>1134</v>
      </c>
      <c r="D205" s="1">
        <f>1067</f>
        <v>1067</v>
      </c>
      <c r="E205" s="7">
        <v>871</v>
      </c>
      <c r="F205" s="27"/>
      <c r="G205" s="5">
        <v>941</v>
      </c>
      <c r="H205" s="7">
        <v>872</v>
      </c>
      <c r="I205" s="39">
        <v>867</v>
      </c>
      <c r="J205" s="39">
        <v>893</v>
      </c>
      <c r="K205" s="39">
        <v>1206</v>
      </c>
      <c r="L205" s="39">
        <v>1162</v>
      </c>
      <c r="M205" s="39">
        <v>783</v>
      </c>
      <c r="N205" s="39">
        <v>851</v>
      </c>
      <c r="O205" s="39">
        <v>781</v>
      </c>
      <c r="P205" s="39">
        <v>835</v>
      </c>
      <c r="Q205" s="39">
        <v>885</v>
      </c>
      <c r="R205" s="39">
        <v>925</v>
      </c>
      <c r="S205" s="51">
        <v>865</v>
      </c>
      <c r="T205" s="51">
        <v>898</v>
      </c>
      <c r="U205" s="51">
        <v>973</v>
      </c>
      <c r="V205" s="51">
        <v>1170</v>
      </c>
      <c r="W205" s="51">
        <v>1363</v>
      </c>
      <c r="X205" s="51">
        <v>1230</v>
      </c>
    </row>
    <row r="206" spans="1:24" x14ac:dyDescent="0.2">
      <c r="A206" s="6"/>
      <c r="B206" s="6"/>
      <c r="C206" s="7"/>
      <c r="D206" s="1"/>
      <c r="E206" s="7"/>
      <c r="F206" s="27"/>
      <c r="G206" s="5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51"/>
      <c r="T206" s="51"/>
      <c r="U206" s="51"/>
      <c r="V206" s="51"/>
      <c r="W206" s="51"/>
      <c r="X206" s="51"/>
    </row>
    <row r="207" spans="1:24" x14ac:dyDescent="0.2">
      <c r="A207" s="6" t="s">
        <v>691</v>
      </c>
      <c r="B207" s="6" t="s">
        <v>692</v>
      </c>
      <c r="C207" s="7"/>
      <c r="D207" s="1"/>
      <c r="E207" s="7"/>
      <c r="F207" s="27"/>
      <c r="G207" s="5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51"/>
      <c r="T207" s="51"/>
      <c r="U207" s="51"/>
      <c r="V207" s="51">
        <v>186</v>
      </c>
      <c r="W207" s="51">
        <v>249</v>
      </c>
      <c r="X207" s="51">
        <v>264</v>
      </c>
    </row>
    <row r="208" spans="1:24" x14ac:dyDescent="0.2">
      <c r="A208" s="5"/>
      <c r="B208" s="5"/>
      <c r="C208" s="5"/>
      <c r="D208" s="2"/>
      <c r="E208" s="7"/>
      <c r="F208" s="27"/>
    </row>
    <row r="209" spans="1:24" x14ac:dyDescent="0.2">
      <c r="A209" s="5"/>
      <c r="B209" s="6" t="s">
        <v>511</v>
      </c>
      <c r="C209" s="5"/>
      <c r="D209" s="1"/>
      <c r="E209" s="7"/>
      <c r="F209" s="27"/>
    </row>
    <row r="210" spans="1:24" x14ac:dyDescent="0.2">
      <c r="A210" s="6" t="s">
        <v>2</v>
      </c>
      <c r="B210" s="6" t="s">
        <v>132</v>
      </c>
      <c r="C210" s="5"/>
      <c r="D210" s="1"/>
      <c r="E210" s="7"/>
      <c r="F210" s="27"/>
      <c r="G210" s="7"/>
    </row>
    <row r="211" spans="1:24" x14ac:dyDescent="0.2">
      <c r="A211" s="5" t="s">
        <v>4</v>
      </c>
      <c r="B211" s="5" t="s">
        <v>61</v>
      </c>
      <c r="C211" s="7">
        <f>25431</f>
        <v>25431</v>
      </c>
      <c r="D211" s="1">
        <v>27401</v>
      </c>
      <c r="E211" s="10">
        <v>24656</v>
      </c>
      <c r="F211" s="29" t="s">
        <v>7</v>
      </c>
      <c r="G211" s="7">
        <v>23855</v>
      </c>
      <c r="H211" s="7">
        <v>26267</v>
      </c>
      <c r="I211" s="39">
        <v>25954</v>
      </c>
      <c r="J211" s="39">
        <v>26829</v>
      </c>
      <c r="K211" s="39">
        <v>24573</v>
      </c>
      <c r="L211" s="39">
        <v>23489</v>
      </c>
      <c r="M211" s="39">
        <v>27078</v>
      </c>
      <c r="N211" s="39">
        <v>24892</v>
      </c>
      <c r="O211" s="39">
        <v>24775</v>
      </c>
      <c r="P211" s="39">
        <v>27550</v>
      </c>
      <c r="Q211" s="39">
        <v>25005</v>
      </c>
      <c r="R211" s="39">
        <v>23956</v>
      </c>
      <c r="S211" s="39">
        <v>23504</v>
      </c>
      <c r="T211" s="39">
        <v>22017</v>
      </c>
      <c r="U211" s="39">
        <v>22167</v>
      </c>
      <c r="V211" s="39">
        <v>20566</v>
      </c>
      <c r="W211" s="39">
        <v>20122</v>
      </c>
      <c r="X211" s="39">
        <v>20096</v>
      </c>
    </row>
    <row r="212" spans="1:24" x14ac:dyDescent="0.2">
      <c r="A212" s="5" t="s">
        <v>59</v>
      </c>
      <c r="B212" s="5" t="s">
        <v>9</v>
      </c>
      <c r="C212" s="7">
        <f>26615</f>
        <v>26615</v>
      </c>
      <c r="D212" s="1">
        <v>27290</v>
      </c>
      <c r="E212" s="10">
        <v>25501</v>
      </c>
      <c r="F212" s="29" t="s">
        <v>7</v>
      </c>
      <c r="G212" s="7">
        <v>23754</v>
      </c>
      <c r="H212" s="7">
        <v>25635</v>
      </c>
      <c r="I212" s="39">
        <v>25890</v>
      </c>
      <c r="J212" s="39">
        <v>27326</v>
      </c>
      <c r="K212" s="39">
        <v>25850</v>
      </c>
      <c r="L212" s="39">
        <v>22883</v>
      </c>
      <c r="M212" s="39">
        <v>24921</v>
      </c>
      <c r="N212" s="39">
        <v>25790</v>
      </c>
      <c r="O212" s="39">
        <v>25612</v>
      </c>
      <c r="P212" s="39">
        <v>27200</v>
      </c>
      <c r="Q212" s="39">
        <v>26146</v>
      </c>
      <c r="R212" s="39">
        <v>25163</v>
      </c>
      <c r="S212" s="39">
        <v>24203</v>
      </c>
      <c r="T212" s="39">
        <v>23773</v>
      </c>
      <c r="U212" s="39">
        <v>22099</v>
      </c>
      <c r="V212" s="39">
        <v>21494</v>
      </c>
      <c r="W212" s="39">
        <v>20573</v>
      </c>
      <c r="X212" s="39">
        <v>18845</v>
      </c>
    </row>
    <row r="213" spans="1:24" x14ac:dyDescent="0.2">
      <c r="A213" s="5" t="s">
        <v>80</v>
      </c>
      <c r="B213" s="5" t="s">
        <v>11</v>
      </c>
      <c r="C213" s="7">
        <f>8251</f>
        <v>8251</v>
      </c>
      <c r="D213" s="1">
        <v>11067</v>
      </c>
      <c r="E213" s="10">
        <v>10222</v>
      </c>
      <c r="F213" s="29" t="s">
        <v>7</v>
      </c>
      <c r="G213" s="7">
        <v>10427</v>
      </c>
      <c r="H213" s="7">
        <v>11007</v>
      </c>
      <c r="I213" s="39">
        <v>11266</v>
      </c>
      <c r="J213" s="39">
        <v>10830</v>
      </c>
      <c r="K213" s="39">
        <v>10077</v>
      </c>
      <c r="L213" s="39">
        <v>10828</v>
      </c>
      <c r="M213" s="39">
        <v>12981</v>
      </c>
      <c r="N213" s="39">
        <v>12160</v>
      </c>
      <c r="O213" s="39">
        <v>11237</v>
      </c>
      <c r="P213" s="39">
        <v>11503</v>
      </c>
      <c r="Q213" s="39">
        <v>10490</v>
      </c>
      <c r="R213" s="39">
        <v>9319</v>
      </c>
      <c r="S213" s="39">
        <v>8719</v>
      </c>
      <c r="T213" s="39">
        <v>6984</v>
      </c>
      <c r="U213" s="39">
        <v>6885</v>
      </c>
      <c r="V213" s="39">
        <v>6219</v>
      </c>
      <c r="W213" s="39">
        <v>5743</v>
      </c>
      <c r="X213" s="39">
        <v>6994</v>
      </c>
    </row>
    <row r="214" spans="1:24" x14ac:dyDescent="0.2">
      <c r="A214" s="5" t="s">
        <v>82</v>
      </c>
      <c r="B214" s="5" t="s">
        <v>456</v>
      </c>
      <c r="C214" s="5"/>
      <c r="D214" s="1"/>
      <c r="E214" s="92"/>
      <c r="F214" s="12"/>
      <c r="G214" s="7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</row>
    <row r="215" spans="1:24" x14ac:dyDescent="0.2">
      <c r="A215" s="5" t="s">
        <v>84</v>
      </c>
      <c r="B215" s="5" t="s">
        <v>440</v>
      </c>
      <c r="C215" s="7">
        <f>13753</f>
        <v>13753</v>
      </c>
      <c r="D215" s="1">
        <v>17212</v>
      </c>
      <c r="E215" s="13" t="s">
        <v>16</v>
      </c>
      <c r="F215" s="14"/>
      <c r="G215" s="7">
        <v>14956</v>
      </c>
      <c r="H215" s="7">
        <v>16332</v>
      </c>
      <c r="I215" s="39">
        <v>16549</v>
      </c>
      <c r="J215" s="39">
        <v>17743</v>
      </c>
      <c r="K215" s="39">
        <v>17990</v>
      </c>
      <c r="L215" s="39">
        <v>15881</v>
      </c>
      <c r="M215" s="39">
        <v>17261</v>
      </c>
      <c r="N215" s="39">
        <v>18094</v>
      </c>
      <c r="O215" s="39">
        <v>17766</v>
      </c>
      <c r="P215" s="39">
        <v>19586</v>
      </c>
      <c r="Q215" s="39">
        <v>18904</v>
      </c>
      <c r="R215" s="39">
        <v>18468</v>
      </c>
      <c r="S215" s="39">
        <v>17924</v>
      </c>
      <c r="T215" s="39">
        <v>18078</v>
      </c>
      <c r="U215" s="39">
        <v>17170</v>
      </c>
      <c r="V215" s="39">
        <v>17122</v>
      </c>
      <c r="W215" s="39">
        <v>16437</v>
      </c>
      <c r="X215" s="50" t="s">
        <v>734</v>
      </c>
    </row>
    <row r="216" spans="1:24" x14ac:dyDescent="0.2">
      <c r="A216" s="5" t="s">
        <v>85</v>
      </c>
      <c r="B216" s="5" t="s">
        <v>441</v>
      </c>
      <c r="C216" s="7">
        <f>9751</f>
        <v>9751</v>
      </c>
      <c r="D216" s="1">
        <v>5934</v>
      </c>
      <c r="E216" s="13" t="s">
        <v>19</v>
      </c>
      <c r="F216" s="14"/>
      <c r="G216" s="7">
        <v>4155</v>
      </c>
      <c r="H216" s="7">
        <v>4553</v>
      </c>
      <c r="I216" s="39">
        <v>4717</v>
      </c>
      <c r="J216" s="39">
        <v>4813</v>
      </c>
      <c r="K216" s="39">
        <v>3671</v>
      </c>
      <c r="L216" s="39">
        <v>2956</v>
      </c>
      <c r="M216" s="39">
        <v>3102</v>
      </c>
      <c r="N216" s="39">
        <v>2772</v>
      </c>
      <c r="O216" s="39">
        <v>2395</v>
      </c>
      <c r="P216" s="39">
        <v>2333</v>
      </c>
      <c r="Q216" s="39">
        <v>1875</v>
      </c>
      <c r="R216" s="39">
        <v>1288</v>
      </c>
      <c r="S216" s="39">
        <v>1391</v>
      </c>
      <c r="T216" s="39">
        <v>958</v>
      </c>
      <c r="U216" s="39">
        <v>754</v>
      </c>
      <c r="V216" s="39">
        <v>710</v>
      </c>
      <c r="W216" s="39">
        <v>570</v>
      </c>
      <c r="X216" s="50" t="s">
        <v>734</v>
      </c>
    </row>
    <row r="217" spans="1:24" x14ac:dyDescent="0.2">
      <c r="A217" s="5" t="s">
        <v>86</v>
      </c>
      <c r="B217" s="5" t="s">
        <v>442</v>
      </c>
      <c r="C217" s="7">
        <f>551</f>
        <v>551</v>
      </c>
      <c r="D217" s="1">
        <v>899</v>
      </c>
      <c r="E217" s="13" t="s">
        <v>22</v>
      </c>
      <c r="F217" s="14"/>
      <c r="G217" s="7">
        <v>916</v>
      </c>
      <c r="H217" s="7">
        <v>1172</v>
      </c>
      <c r="I217" s="39">
        <v>1328</v>
      </c>
      <c r="J217" s="39">
        <v>1385</v>
      </c>
      <c r="K217" s="39">
        <v>1069</v>
      </c>
      <c r="L217" s="39">
        <v>920</v>
      </c>
      <c r="M217" s="39">
        <v>1136</v>
      </c>
      <c r="N217" s="39">
        <v>1065</v>
      </c>
      <c r="O217" s="39">
        <v>958</v>
      </c>
      <c r="P217" s="39">
        <v>961</v>
      </c>
      <c r="Q217" s="39">
        <v>997</v>
      </c>
      <c r="R217" s="39">
        <v>1196</v>
      </c>
      <c r="S217" s="39">
        <v>819</v>
      </c>
      <c r="T217" s="39">
        <v>603</v>
      </c>
      <c r="U217" s="39">
        <v>419</v>
      </c>
      <c r="V217" s="39">
        <v>355</v>
      </c>
      <c r="W217" s="39">
        <v>294</v>
      </c>
      <c r="X217" s="50" t="s">
        <v>734</v>
      </c>
    </row>
    <row r="218" spans="1:24" x14ac:dyDescent="0.2">
      <c r="A218" s="5" t="s">
        <v>87</v>
      </c>
      <c r="B218" s="5" t="s">
        <v>443</v>
      </c>
      <c r="C218" s="7">
        <f>167</f>
        <v>167</v>
      </c>
      <c r="D218" s="1">
        <v>167</v>
      </c>
      <c r="E218" s="13" t="s">
        <v>25</v>
      </c>
      <c r="F218" s="14"/>
      <c r="G218" s="7">
        <v>138</v>
      </c>
      <c r="H218" s="7">
        <v>144</v>
      </c>
      <c r="I218" s="39">
        <v>147</v>
      </c>
      <c r="J218" s="39">
        <v>160</v>
      </c>
      <c r="K218" s="39">
        <v>191</v>
      </c>
      <c r="L218" s="39">
        <v>238</v>
      </c>
      <c r="M218" s="39">
        <v>198</v>
      </c>
      <c r="N218" s="39">
        <v>162</v>
      </c>
      <c r="O218" s="39">
        <v>176</v>
      </c>
      <c r="P218" s="39">
        <v>182</v>
      </c>
      <c r="Q218" s="39">
        <v>230</v>
      </c>
      <c r="R218" s="39">
        <v>227</v>
      </c>
      <c r="S218" s="39">
        <v>291</v>
      </c>
      <c r="T218" s="39">
        <v>272</v>
      </c>
      <c r="U218" s="39">
        <v>186</v>
      </c>
      <c r="V218" s="39">
        <v>151</v>
      </c>
      <c r="W218" s="39">
        <v>145</v>
      </c>
      <c r="X218" s="50" t="s">
        <v>734</v>
      </c>
    </row>
    <row r="219" spans="1:24" x14ac:dyDescent="0.2">
      <c r="A219" s="5" t="s">
        <v>133</v>
      </c>
      <c r="B219" s="5" t="s">
        <v>457</v>
      </c>
      <c r="C219" s="7">
        <f>2183</f>
        <v>2183</v>
      </c>
      <c r="D219" s="1">
        <v>3007</v>
      </c>
      <c r="E219" s="13" t="s">
        <v>28</v>
      </c>
      <c r="F219" s="14"/>
      <c r="G219" s="7">
        <v>3524</v>
      </c>
      <c r="H219" s="7">
        <v>3359</v>
      </c>
      <c r="I219" s="39">
        <v>3021</v>
      </c>
      <c r="J219" s="39">
        <v>3069</v>
      </c>
      <c r="K219" s="39">
        <v>2749</v>
      </c>
      <c r="L219" s="39">
        <v>2672</v>
      </c>
      <c r="M219" s="39">
        <v>3065</v>
      </c>
      <c r="N219" s="39">
        <f>3559+50</f>
        <v>3609</v>
      </c>
      <c r="O219" s="39">
        <v>4114</v>
      </c>
      <c r="P219" s="39">
        <f>3894+93</f>
        <v>3987</v>
      </c>
      <c r="Q219" s="39">
        <v>4014</v>
      </c>
      <c r="R219" s="39">
        <f>3874+75</f>
        <v>3949</v>
      </c>
      <c r="S219" s="39">
        <f>SUM(3683+46)</f>
        <v>3729</v>
      </c>
      <c r="T219" s="39">
        <v>3785</v>
      </c>
      <c r="U219" s="39">
        <v>3465</v>
      </c>
      <c r="V219" s="39">
        <v>3047</v>
      </c>
      <c r="W219" s="39">
        <v>3040</v>
      </c>
      <c r="X219" s="50" t="s">
        <v>734</v>
      </c>
    </row>
    <row r="220" spans="1:24" x14ac:dyDescent="0.2">
      <c r="A220" s="5" t="s">
        <v>134</v>
      </c>
      <c r="B220" s="5" t="s">
        <v>444</v>
      </c>
      <c r="C220" s="7">
        <f>49</f>
        <v>49</v>
      </c>
      <c r="D220" s="1">
        <v>3</v>
      </c>
      <c r="E220" s="13" t="s">
        <v>31</v>
      </c>
      <c r="F220" s="14"/>
      <c r="G220" s="7">
        <v>1</v>
      </c>
      <c r="H220" s="7">
        <v>14</v>
      </c>
      <c r="I220" s="39">
        <v>13</v>
      </c>
      <c r="J220" s="39">
        <v>32</v>
      </c>
      <c r="K220" s="39">
        <v>18</v>
      </c>
      <c r="L220" s="39">
        <v>11</v>
      </c>
      <c r="M220" s="39">
        <v>14</v>
      </c>
      <c r="N220" s="39">
        <v>22</v>
      </c>
      <c r="O220" s="39">
        <v>13</v>
      </c>
      <c r="P220" s="39">
        <v>11</v>
      </c>
      <c r="Q220" s="39">
        <v>2</v>
      </c>
      <c r="R220" s="39">
        <v>0</v>
      </c>
      <c r="S220" s="39">
        <v>1</v>
      </c>
      <c r="T220" s="39">
        <v>1</v>
      </c>
      <c r="U220" s="39">
        <v>2</v>
      </c>
      <c r="V220" s="39">
        <v>2</v>
      </c>
      <c r="W220" s="39">
        <v>2</v>
      </c>
      <c r="X220" s="50" t="s">
        <v>734</v>
      </c>
    </row>
    <row r="221" spans="1:24" hidden="1" outlineLevel="1" x14ac:dyDescent="0.2">
      <c r="A221" s="5"/>
      <c r="B221" s="5"/>
      <c r="C221" s="7"/>
      <c r="D221" s="1"/>
      <c r="E221" s="13"/>
      <c r="F221" s="14"/>
      <c r="G221" s="7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</row>
    <row r="222" spans="1:24" hidden="1" outlineLevel="1" x14ac:dyDescent="0.2">
      <c r="A222" s="5"/>
      <c r="B222" s="5"/>
      <c r="C222" s="7"/>
      <c r="D222" s="1"/>
      <c r="E222" s="13"/>
      <c r="F222" s="14"/>
      <c r="G222" s="7"/>
      <c r="I222" s="39"/>
      <c r="J222" s="39"/>
      <c r="K222" s="39"/>
      <c r="L222" s="39"/>
      <c r="M222" s="39"/>
      <c r="N222" s="39"/>
      <c r="O222" s="39"/>
      <c r="P222" s="39"/>
      <c r="Q222" s="39"/>
      <c r="R222" s="38">
        <v>2006</v>
      </c>
      <c r="S222" s="38">
        <v>2007</v>
      </c>
      <c r="T222" s="38">
        <v>2008</v>
      </c>
      <c r="U222" s="38">
        <v>2009</v>
      </c>
      <c r="V222" s="38">
        <v>2010</v>
      </c>
      <c r="W222" s="38"/>
      <c r="X222" s="48"/>
    </row>
    <row r="223" spans="1:24" collapsed="1" x14ac:dyDescent="0.2">
      <c r="A223" s="5" t="s">
        <v>135</v>
      </c>
      <c r="B223" s="5" t="s">
        <v>458</v>
      </c>
      <c r="C223" s="7"/>
      <c r="D223" s="1"/>
      <c r="E223" s="13"/>
      <c r="F223" s="14"/>
      <c r="G223" s="7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</row>
    <row r="224" spans="1:24" x14ac:dyDescent="0.2">
      <c r="A224" s="5"/>
      <c r="B224" s="5" t="s">
        <v>459</v>
      </c>
      <c r="C224" s="7">
        <f>3</f>
        <v>3</v>
      </c>
      <c r="D224" s="1">
        <v>3</v>
      </c>
      <c r="E224" s="13" t="s">
        <v>34</v>
      </c>
      <c r="F224" s="14"/>
      <c r="G224" s="7">
        <v>1</v>
      </c>
      <c r="H224" s="7">
        <v>2</v>
      </c>
      <c r="I224" s="39">
        <v>2</v>
      </c>
      <c r="J224" s="39">
        <v>2</v>
      </c>
      <c r="K224" s="39">
        <v>1</v>
      </c>
      <c r="L224" s="39">
        <v>3</v>
      </c>
      <c r="M224" s="39">
        <v>0</v>
      </c>
      <c r="N224" s="39">
        <v>0</v>
      </c>
      <c r="O224" s="39">
        <v>1</v>
      </c>
      <c r="P224" s="39">
        <v>0</v>
      </c>
      <c r="Q224" s="39">
        <v>0</v>
      </c>
      <c r="R224" s="39">
        <v>0</v>
      </c>
      <c r="S224" s="39">
        <v>0</v>
      </c>
      <c r="T224" s="39">
        <v>0</v>
      </c>
      <c r="U224" s="39">
        <v>2</v>
      </c>
      <c r="V224" s="39">
        <v>9</v>
      </c>
      <c r="W224" s="39">
        <v>1</v>
      </c>
      <c r="X224" s="50" t="s">
        <v>734</v>
      </c>
    </row>
    <row r="225" spans="1:24" x14ac:dyDescent="0.2">
      <c r="A225" s="5" t="s">
        <v>136</v>
      </c>
      <c r="B225" s="5" t="s">
        <v>460</v>
      </c>
      <c r="C225" s="7" t="s">
        <v>137</v>
      </c>
      <c r="D225" s="1">
        <v>0</v>
      </c>
      <c r="E225" s="13" t="s">
        <v>37</v>
      </c>
      <c r="F225" s="14"/>
      <c r="G225" s="7">
        <v>0</v>
      </c>
      <c r="H225" s="7">
        <v>0</v>
      </c>
      <c r="I225" s="39">
        <v>0</v>
      </c>
      <c r="J225" s="39">
        <v>0</v>
      </c>
      <c r="K225" s="39">
        <v>0</v>
      </c>
      <c r="L225" s="39">
        <v>0</v>
      </c>
      <c r="M225" s="39">
        <v>0</v>
      </c>
      <c r="N225" s="39">
        <v>0</v>
      </c>
      <c r="O225" s="39">
        <v>0</v>
      </c>
      <c r="P225" s="39">
        <v>1</v>
      </c>
      <c r="Q225" s="39">
        <v>0</v>
      </c>
      <c r="R225" s="39">
        <v>0</v>
      </c>
      <c r="S225" s="39">
        <v>0</v>
      </c>
      <c r="T225" s="39">
        <v>0</v>
      </c>
      <c r="U225" s="39">
        <v>0</v>
      </c>
      <c r="V225" s="39">
        <v>1</v>
      </c>
      <c r="W225" s="39">
        <v>0</v>
      </c>
      <c r="X225" s="50" t="s">
        <v>734</v>
      </c>
    </row>
    <row r="226" spans="1:24" x14ac:dyDescent="0.2">
      <c r="A226" s="5" t="s">
        <v>138</v>
      </c>
      <c r="B226" s="5" t="s">
        <v>479</v>
      </c>
      <c r="C226" s="7">
        <f>11</f>
        <v>11</v>
      </c>
      <c r="D226" s="1">
        <v>21</v>
      </c>
      <c r="E226" s="16" t="s">
        <v>139</v>
      </c>
      <c r="F226" s="14"/>
      <c r="G226" s="7">
        <v>3</v>
      </c>
      <c r="H226" s="7">
        <v>8</v>
      </c>
      <c r="I226" s="39">
        <v>6</v>
      </c>
      <c r="J226" s="39">
        <v>9</v>
      </c>
      <c r="K226" s="39">
        <v>2</v>
      </c>
      <c r="L226" s="39">
        <v>8</v>
      </c>
      <c r="M226" s="39">
        <v>6</v>
      </c>
      <c r="N226" s="39">
        <v>1</v>
      </c>
      <c r="O226" s="39">
        <v>7</v>
      </c>
      <c r="P226" s="39">
        <v>7</v>
      </c>
      <c r="Q226" s="39">
        <v>6</v>
      </c>
      <c r="R226" s="39">
        <v>1</v>
      </c>
      <c r="S226" s="39">
        <v>4</v>
      </c>
      <c r="T226" s="39">
        <v>7</v>
      </c>
      <c r="U226" s="39">
        <v>3</v>
      </c>
      <c r="V226" s="39">
        <v>1</v>
      </c>
      <c r="W226" s="39">
        <v>6</v>
      </c>
      <c r="X226" s="50" t="s">
        <v>734</v>
      </c>
    </row>
    <row r="227" spans="1:24" x14ac:dyDescent="0.2">
      <c r="A227" s="5" t="s">
        <v>140</v>
      </c>
      <c r="B227" s="5" t="s">
        <v>446</v>
      </c>
      <c r="C227" s="7">
        <f>2</f>
        <v>2</v>
      </c>
      <c r="D227" s="1">
        <v>2</v>
      </c>
      <c r="E227" s="13" t="s">
        <v>43</v>
      </c>
      <c r="F227" s="14"/>
      <c r="G227" s="7">
        <v>1</v>
      </c>
      <c r="H227" s="7">
        <v>0</v>
      </c>
      <c r="I227" s="39">
        <v>0</v>
      </c>
      <c r="J227" s="39">
        <v>0</v>
      </c>
      <c r="K227" s="39">
        <v>2</v>
      </c>
      <c r="L227" s="39">
        <v>2</v>
      </c>
      <c r="M227" s="39">
        <v>1</v>
      </c>
      <c r="N227" s="39">
        <v>2</v>
      </c>
      <c r="O227" s="39">
        <v>0</v>
      </c>
      <c r="P227" s="39">
        <v>0</v>
      </c>
      <c r="Q227" s="39">
        <v>18</v>
      </c>
      <c r="R227" s="39">
        <v>7</v>
      </c>
      <c r="S227" s="39">
        <v>1</v>
      </c>
      <c r="T227" s="39">
        <v>4</v>
      </c>
      <c r="U227" s="39">
        <v>5</v>
      </c>
      <c r="V227" s="39">
        <v>2</v>
      </c>
      <c r="W227" s="39">
        <v>7</v>
      </c>
      <c r="X227" s="50" t="s">
        <v>734</v>
      </c>
    </row>
    <row r="228" spans="1:24" x14ac:dyDescent="0.2">
      <c r="A228" s="5" t="s">
        <v>474</v>
      </c>
      <c r="B228" s="5" t="s">
        <v>480</v>
      </c>
      <c r="C228" s="7"/>
      <c r="D228" s="1"/>
      <c r="E228" s="13"/>
      <c r="F228" s="14"/>
      <c r="G228" s="7"/>
      <c r="I228" s="39"/>
      <c r="J228" s="39"/>
      <c r="K228" s="39"/>
      <c r="L228" s="39"/>
      <c r="M228" s="39"/>
      <c r="N228" s="39"/>
      <c r="O228" s="39"/>
      <c r="P228" s="39">
        <v>21</v>
      </c>
      <c r="Q228" s="39">
        <v>49</v>
      </c>
      <c r="R228" s="39">
        <v>24</v>
      </c>
      <c r="S228" s="39">
        <v>16</v>
      </c>
      <c r="T228" s="39">
        <v>20</v>
      </c>
      <c r="U228" s="39">
        <v>26</v>
      </c>
      <c r="V228" s="39">
        <v>42</v>
      </c>
      <c r="W228" s="39">
        <v>24</v>
      </c>
      <c r="X228" s="50" t="s">
        <v>734</v>
      </c>
    </row>
    <row r="229" spans="1:24" x14ac:dyDescent="0.2">
      <c r="A229" s="5" t="s">
        <v>475</v>
      </c>
      <c r="B229" s="5" t="s">
        <v>481</v>
      </c>
      <c r="C229" s="7"/>
      <c r="D229" s="1"/>
      <c r="E229" s="13"/>
      <c r="F229" s="14"/>
      <c r="G229" s="7"/>
      <c r="I229" s="39"/>
      <c r="J229" s="39"/>
      <c r="K229" s="39"/>
      <c r="L229" s="39"/>
      <c r="M229" s="39"/>
      <c r="N229" s="39"/>
      <c r="O229" s="39"/>
      <c r="P229" s="39">
        <v>7</v>
      </c>
      <c r="Q229" s="39">
        <v>3</v>
      </c>
      <c r="R229" s="39">
        <v>2</v>
      </c>
      <c r="S229" s="39">
        <v>22</v>
      </c>
      <c r="T229" s="39">
        <v>39</v>
      </c>
      <c r="U229" s="39">
        <v>7</v>
      </c>
      <c r="V229" s="39">
        <v>14</v>
      </c>
      <c r="W229" s="39">
        <v>1</v>
      </c>
      <c r="X229" s="50" t="s">
        <v>734</v>
      </c>
    </row>
    <row r="230" spans="1:24" x14ac:dyDescent="0.2">
      <c r="A230" s="5" t="s">
        <v>476</v>
      </c>
      <c r="B230" s="5" t="s">
        <v>482</v>
      </c>
      <c r="C230" s="7"/>
      <c r="D230" s="1"/>
      <c r="E230" s="13"/>
      <c r="F230" s="14"/>
      <c r="G230" s="7"/>
      <c r="I230" s="39"/>
      <c r="J230" s="39"/>
      <c r="K230" s="39"/>
      <c r="L230" s="39"/>
      <c r="M230" s="39"/>
      <c r="N230" s="39"/>
      <c r="O230" s="39"/>
      <c r="P230" s="39">
        <v>101</v>
      </c>
      <c r="Q230" s="39">
        <v>28</v>
      </c>
      <c r="R230" s="39">
        <v>1</v>
      </c>
      <c r="S230" s="39">
        <v>2</v>
      </c>
      <c r="T230" s="39">
        <v>3</v>
      </c>
      <c r="U230" s="39">
        <v>0</v>
      </c>
      <c r="V230" s="39">
        <v>6</v>
      </c>
      <c r="W230" s="39">
        <v>3</v>
      </c>
      <c r="X230" s="50" t="s">
        <v>734</v>
      </c>
    </row>
    <row r="231" spans="1:24" x14ac:dyDescent="0.2">
      <c r="A231" s="5" t="s">
        <v>477</v>
      </c>
      <c r="B231" s="5" t="s">
        <v>589</v>
      </c>
      <c r="C231" s="7"/>
      <c r="D231" s="1"/>
      <c r="E231" s="13"/>
      <c r="F231" s="14"/>
      <c r="G231" s="7"/>
      <c r="I231" s="39"/>
      <c r="J231" s="39"/>
      <c r="K231" s="39"/>
      <c r="L231" s="39"/>
      <c r="M231" s="39"/>
      <c r="N231" s="39"/>
      <c r="O231" s="39"/>
      <c r="P231" s="39">
        <v>3</v>
      </c>
      <c r="Q231" s="39">
        <v>20</v>
      </c>
      <c r="R231" s="39">
        <v>0</v>
      </c>
      <c r="S231" s="39">
        <v>3</v>
      </c>
      <c r="T231" s="39">
        <v>3</v>
      </c>
      <c r="U231" s="39">
        <v>6</v>
      </c>
      <c r="V231" s="39">
        <v>2</v>
      </c>
      <c r="W231" s="39">
        <v>2</v>
      </c>
      <c r="X231" s="39"/>
    </row>
    <row r="232" spans="1:24" x14ac:dyDescent="0.2">
      <c r="A232" s="5"/>
      <c r="B232" s="5"/>
      <c r="C232" s="5"/>
      <c r="D232" s="1"/>
      <c r="E232" s="16">
        <v>1994</v>
      </c>
      <c r="F232" s="14"/>
      <c r="G232" s="7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50" t="s">
        <v>734</v>
      </c>
    </row>
    <row r="233" spans="1:24" x14ac:dyDescent="0.2">
      <c r="A233" s="5" t="s">
        <v>88</v>
      </c>
      <c r="B233" s="5" t="s">
        <v>141</v>
      </c>
      <c r="C233" s="7">
        <f>24160</f>
        <v>24160</v>
      </c>
      <c r="D233" s="1">
        <v>20983</v>
      </c>
      <c r="E233" s="17" t="s">
        <v>48</v>
      </c>
      <c r="F233" s="20"/>
      <c r="G233" s="7">
        <v>18682</v>
      </c>
      <c r="H233" s="7">
        <v>19432</v>
      </c>
      <c r="I233" s="39">
        <v>18829</v>
      </c>
      <c r="J233" s="39">
        <v>20210</v>
      </c>
      <c r="K233" s="39">
        <v>19844</v>
      </c>
      <c r="L233" s="39">
        <v>18475</v>
      </c>
      <c r="M233" s="39">
        <v>18689</v>
      </c>
      <c r="N233" s="39">
        <v>20240</v>
      </c>
      <c r="O233" s="39">
        <v>20357</v>
      </c>
      <c r="P233" s="39">
        <v>21012</v>
      </c>
      <c r="Q233" s="39">
        <v>21369</v>
      </c>
      <c r="R233" s="39">
        <v>20617</v>
      </c>
      <c r="S233" s="39">
        <v>20059</v>
      </c>
      <c r="T233" s="39">
        <v>19469</v>
      </c>
      <c r="U233" s="39">
        <v>18042</v>
      </c>
      <c r="V233" s="39">
        <v>17757</v>
      </c>
      <c r="W233" s="39">
        <v>16695</v>
      </c>
      <c r="X233" s="50" t="s">
        <v>734</v>
      </c>
    </row>
    <row r="234" spans="1:24" x14ac:dyDescent="0.2">
      <c r="A234" s="5"/>
      <c r="B234" s="5"/>
      <c r="C234" s="5"/>
      <c r="D234" s="1"/>
      <c r="E234" s="16" t="s">
        <v>51</v>
      </c>
      <c r="F234" s="20"/>
      <c r="G234" s="7"/>
      <c r="V234" s="7"/>
      <c r="W234" s="7"/>
      <c r="X234" s="7"/>
    </row>
    <row r="235" spans="1:24" x14ac:dyDescent="0.2">
      <c r="A235" s="5" t="s">
        <v>108</v>
      </c>
      <c r="B235" s="5" t="s">
        <v>142</v>
      </c>
      <c r="C235" s="7">
        <f>25865</f>
        <v>25865</v>
      </c>
      <c r="D235" s="1">
        <v>22338</v>
      </c>
      <c r="E235" s="5"/>
      <c r="F235" s="14"/>
      <c r="G235" s="7">
        <v>19919</v>
      </c>
      <c r="H235" s="7">
        <v>20992</v>
      </c>
      <c r="I235" s="39">
        <v>20204</v>
      </c>
      <c r="J235" s="39">
        <v>21470</v>
      </c>
      <c r="K235" s="39">
        <v>21233</v>
      </c>
      <c r="L235" s="39">
        <v>19560</v>
      </c>
      <c r="M235" s="39">
        <v>19639</v>
      </c>
      <c r="N235" s="39">
        <v>21360</v>
      </c>
      <c r="O235" s="39">
        <v>21345</v>
      </c>
      <c r="P235" s="39">
        <v>22037</v>
      </c>
      <c r="Q235" s="39">
        <v>22526</v>
      </c>
      <c r="R235" s="39">
        <v>22017</v>
      </c>
      <c r="S235" s="39">
        <v>21458</v>
      </c>
      <c r="T235" s="39">
        <v>20662</v>
      </c>
      <c r="U235" s="39">
        <v>19258</v>
      </c>
      <c r="V235" s="39">
        <v>19433</v>
      </c>
      <c r="W235" s="39">
        <v>18404</v>
      </c>
      <c r="X235" s="50" t="s">
        <v>734</v>
      </c>
    </row>
    <row r="236" spans="1:24" x14ac:dyDescent="0.2">
      <c r="A236" s="5"/>
      <c r="B236" s="5"/>
      <c r="C236" s="5"/>
      <c r="D236" s="1"/>
      <c r="E236" s="5"/>
      <c r="F236" s="14"/>
      <c r="G236" s="7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</row>
    <row r="237" spans="1:24" x14ac:dyDescent="0.2">
      <c r="A237" s="5" t="s">
        <v>143</v>
      </c>
      <c r="B237" s="5" t="s">
        <v>144</v>
      </c>
      <c r="C237" s="5"/>
      <c r="D237" s="1"/>
      <c r="E237" s="5"/>
      <c r="F237" s="14"/>
      <c r="G237" s="7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</row>
    <row r="238" spans="1:24" x14ac:dyDescent="0.2">
      <c r="A238" s="5"/>
      <c r="B238" s="5" t="s">
        <v>57</v>
      </c>
      <c r="C238" s="22">
        <f>3.4</f>
        <v>3.4</v>
      </c>
      <c r="D238" s="2">
        <v>3.8</v>
      </c>
      <c r="E238" s="5"/>
      <c r="F238" s="14"/>
      <c r="G238" s="24">
        <v>4.0999999999999996</v>
      </c>
      <c r="H238" s="24">
        <v>4.0999999999999996</v>
      </c>
      <c r="I238" s="40">
        <v>4</v>
      </c>
      <c r="J238" s="40">
        <v>4.3</v>
      </c>
      <c r="K238" s="40">
        <v>4.5</v>
      </c>
      <c r="L238" s="40">
        <v>4.2</v>
      </c>
      <c r="M238" s="40">
        <v>4.0999999999999996</v>
      </c>
      <c r="N238" s="40">
        <v>4.5999999999999996</v>
      </c>
      <c r="O238" s="40">
        <v>4.5999999999999996</v>
      </c>
      <c r="P238" s="40">
        <v>4.4000000000000004</v>
      </c>
      <c r="Q238" s="40">
        <v>4.5999999999999996</v>
      </c>
      <c r="R238" s="40">
        <v>4.5</v>
      </c>
      <c r="S238" s="40">
        <v>4.3</v>
      </c>
      <c r="T238" s="40">
        <v>4.3</v>
      </c>
      <c r="U238" s="40">
        <v>3.8</v>
      </c>
      <c r="V238" s="40">
        <v>3.9</v>
      </c>
      <c r="W238" s="40">
        <v>3.9</v>
      </c>
      <c r="X238" s="50" t="s">
        <v>734</v>
      </c>
    </row>
    <row r="239" spans="1:24" x14ac:dyDescent="0.2">
      <c r="A239" s="5"/>
      <c r="B239" s="5"/>
      <c r="C239" s="22"/>
      <c r="D239" s="2"/>
      <c r="E239" s="5"/>
      <c r="F239" s="14"/>
      <c r="G239" s="24"/>
      <c r="H239" s="24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</row>
    <row r="240" spans="1:24" x14ac:dyDescent="0.2">
      <c r="A240" s="5"/>
      <c r="B240" s="5"/>
      <c r="C240" s="5"/>
      <c r="D240" s="2"/>
      <c r="E240" s="92"/>
      <c r="F240" s="12"/>
      <c r="G240" s="7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42">
        <v>2007</v>
      </c>
      <c r="T240" s="42">
        <v>2008</v>
      </c>
      <c r="U240" s="42">
        <v>2009</v>
      </c>
      <c r="V240" s="42">
        <v>2010</v>
      </c>
      <c r="W240" s="42">
        <v>2011</v>
      </c>
      <c r="X240" s="38">
        <v>2012</v>
      </c>
    </row>
    <row r="241" spans="1:24" x14ac:dyDescent="0.2">
      <c r="A241" s="6" t="s">
        <v>89</v>
      </c>
      <c r="B241" s="6" t="s">
        <v>145</v>
      </c>
      <c r="C241" s="5"/>
      <c r="D241" s="2"/>
      <c r="E241" s="92"/>
      <c r="F241" s="12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</row>
    <row r="242" spans="1:24" x14ac:dyDescent="0.2">
      <c r="A242" s="5" t="s">
        <v>4</v>
      </c>
      <c r="B242" s="5" t="s">
        <v>61</v>
      </c>
      <c r="C242" s="7">
        <f>5748</f>
        <v>5748</v>
      </c>
      <c r="D242" s="1">
        <v>7767</v>
      </c>
      <c r="E242" s="7">
        <v>7901</v>
      </c>
      <c r="F242" s="29" t="s">
        <v>7</v>
      </c>
      <c r="G242" s="7">
        <v>9199</v>
      </c>
      <c r="H242" s="7">
        <v>8422</v>
      </c>
      <c r="I242" s="39">
        <v>7466</v>
      </c>
      <c r="J242" s="39">
        <v>7879</v>
      </c>
      <c r="K242" s="39">
        <v>8391</v>
      </c>
      <c r="L242" s="39">
        <v>7140</v>
      </c>
      <c r="M242" s="39">
        <v>6416</v>
      </c>
      <c r="N242" s="39">
        <v>7545</v>
      </c>
      <c r="O242" s="39">
        <v>7170</v>
      </c>
      <c r="P242" s="39">
        <v>8491</v>
      </c>
      <c r="Q242" s="39">
        <v>10875</v>
      </c>
      <c r="R242" s="39">
        <v>9786</v>
      </c>
      <c r="S242" s="39">
        <v>9166</v>
      </c>
      <c r="T242" s="39">
        <v>8536</v>
      </c>
      <c r="U242" s="39">
        <v>8621</v>
      </c>
      <c r="V242" s="39">
        <v>8215</v>
      </c>
      <c r="W242" s="39">
        <v>7684</v>
      </c>
      <c r="X242" s="39">
        <v>8614</v>
      </c>
    </row>
    <row r="243" spans="1:24" x14ac:dyDescent="0.2">
      <c r="A243" s="5" t="s">
        <v>59</v>
      </c>
      <c r="B243" s="5" t="s">
        <v>9</v>
      </c>
      <c r="C243" s="7">
        <f>5848</f>
        <v>5848</v>
      </c>
      <c r="D243" s="1">
        <v>7507</v>
      </c>
      <c r="E243" s="7">
        <v>7449</v>
      </c>
      <c r="F243" s="29" t="s">
        <v>7</v>
      </c>
      <c r="G243" s="7">
        <v>9129</v>
      </c>
      <c r="H243" s="7">
        <v>8728</v>
      </c>
      <c r="I243" s="39">
        <v>7440</v>
      </c>
      <c r="J243" s="39">
        <v>8060</v>
      </c>
      <c r="K243" s="39">
        <v>8263</v>
      </c>
      <c r="L243" s="39">
        <v>7274</v>
      </c>
      <c r="M243" s="39">
        <v>6409</v>
      </c>
      <c r="N243" s="39">
        <v>7345</v>
      </c>
      <c r="O243" s="39">
        <v>7188</v>
      </c>
      <c r="P243" s="39">
        <v>8003</v>
      </c>
      <c r="Q243" s="39">
        <v>10735</v>
      </c>
      <c r="R243" s="39">
        <v>10415</v>
      </c>
      <c r="S243" s="39">
        <v>9320</v>
      </c>
      <c r="T243" s="39">
        <v>8884</v>
      </c>
      <c r="U243" s="39">
        <v>8175</v>
      </c>
      <c r="V243" s="39">
        <v>8523</v>
      </c>
      <c r="W243" s="39">
        <v>7773</v>
      </c>
      <c r="X243" s="39">
        <v>8473</v>
      </c>
    </row>
    <row r="244" spans="1:24" x14ac:dyDescent="0.2">
      <c r="A244" s="5" t="s">
        <v>80</v>
      </c>
      <c r="B244" s="5" t="s">
        <v>64</v>
      </c>
      <c r="C244" s="7">
        <f>958</f>
        <v>958</v>
      </c>
      <c r="D244" s="1">
        <v>1600</v>
      </c>
      <c r="E244" s="7">
        <v>2073</v>
      </c>
      <c r="F244" s="29" t="s">
        <v>7</v>
      </c>
      <c r="G244" s="7">
        <v>2096</v>
      </c>
      <c r="H244" s="7">
        <v>1792</v>
      </c>
      <c r="I244" s="39">
        <v>1826</v>
      </c>
      <c r="J244" s="39">
        <v>1660</v>
      </c>
      <c r="K244" s="39">
        <v>1764</v>
      </c>
      <c r="L244" s="39">
        <v>1592</v>
      </c>
      <c r="M244" s="39">
        <v>1609</v>
      </c>
      <c r="N244" s="39">
        <v>1816</v>
      </c>
      <c r="O244" s="39">
        <v>1735</v>
      </c>
      <c r="P244" s="39">
        <v>2176</v>
      </c>
      <c r="Q244" s="39">
        <v>2353</v>
      </c>
      <c r="R244" s="39">
        <v>1759</v>
      </c>
      <c r="S244" s="39">
        <v>1630</v>
      </c>
      <c r="T244" s="39">
        <v>1292</v>
      </c>
      <c r="U244" s="39">
        <v>1740</v>
      </c>
      <c r="V244" s="39">
        <v>1443</v>
      </c>
      <c r="W244" s="39">
        <v>1356</v>
      </c>
      <c r="X244" s="39">
        <v>1497</v>
      </c>
    </row>
    <row r="245" spans="1:24" x14ac:dyDescent="0.2">
      <c r="A245" s="5"/>
      <c r="B245" s="5"/>
      <c r="C245" s="7"/>
      <c r="D245" s="1"/>
      <c r="E245" s="7"/>
      <c r="F245" s="29"/>
      <c r="G245" s="7"/>
      <c r="V245" s="7"/>
      <c r="W245" s="7"/>
      <c r="X245" s="7"/>
    </row>
    <row r="246" spans="1:24" hidden="1" outlineLevel="1" x14ac:dyDescent="0.2">
      <c r="A246" s="5"/>
      <c r="B246" s="5"/>
      <c r="C246" s="7"/>
      <c r="D246" s="1"/>
      <c r="E246" s="7"/>
      <c r="F246" s="27"/>
      <c r="G246" s="7"/>
      <c r="V246" s="7"/>
      <c r="W246" s="7"/>
      <c r="X246" s="7"/>
    </row>
    <row r="247" spans="1:24" hidden="1" outlineLevel="1" x14ac:dyDescent="0.2">
      <c r="A247" s="5"/>
      <c r="B247" s="5"/>
      <c r="C247" s="5">
        <f>1989</f>
        <v>1989</v>
      </c>
      <c r="D247" s="63">
        <f>1993</f>
        <v>1993</v>
      </c>
      <c r="E247" s="63">
        <f>1994</f>
        <v>1994</v>
      </c>
      <c r="F247" s="65"/>
      <c r="G247" s="63">
        <v>1995</v>
      </c>
      <c r="H247" s="63">
        <v>1996</v>
      </c>
      <c r="I247" s="42">
        <v>1997</v>
      </c>
      <c r="J247" s="42">
        <v>1998</v>
      </c>
      <c r="K247" s="42">
        <v>1999</v>
      </c>
      <c r="L247" s="42">
        <v>2000</v>
      </c>
      <c r="M247" s="42">
        <v>2001</v>
      </c>
      <c r="N247" s="42">
        <v>2002</v>
      </c>
      <c r="O247" s="42">
        <v>2003</v>
      </c>
      <c r="P247" s="42">
        <v>2004</v>
      </c>
      <c r="Q247" s="42">
        <v>2005</v>
      </c>
      <c r="R247" s="38">
        <v>2006</v>
      </c>
      <c r="S247" s="38">
        <v>2007</v>
      </c>
      <c r="T247" s="38">
        <v>2008</v>
      </c>
      <c r="U247" s="38">
        <v>2009</v>
      </c>
      <c r="V247" s="38"/>
      <c r="W247" s="38"/>
      <c r="X247" s="48"/>
    </row>
    <row r="248" spans="1:24" collapsed="1" x14ac:dyDescent="0.2">
      <c r="A248" s="5" t="s">
        <v>82</v>
      </c>
      <c r="B248" s="5" t="s">
        <v>146</v>
      </c>
      <c r="C248" s="5"/>
      <c r="D248" s="1"/>
      <c r="E248" s="7"/>
      <c r="F248" s="27"/>
      <c r="V248" s="7"/>
      <c r="W248" s="7"/>
      <c r="X248" s="7"/>
    </row>
    <row r="249" spans="1:24" x14ac:dyDescent="0.2">
      <c r="A249" s="5" t="s">
        <v>84</v>
      </c>
      <c r="B249" s="5" t="s">
        <v>447</v>
      </c>
      <c r="C249" s="7">
        <f>1658</f>
        <v>1658</v>
      </c>
      <c r="D249" s="1">
        <v>2135</v>
      </c>
      <c r="E249" s="13" t="s">
        <v>16</v>
      </c>
      <c r="F249" s="14"/>
      <c r="G249" s="7">
        <v>2783</v>
      </c>
      <c r="H249" s="7">
        <v>2443</v>
      </c>
      <c r="I249" s="39">
        <v>2119</v>
      </c>
      <c r="J249" s="39">
        <v>2296</v>
      </c>
      <c r="K249" s="39">
        <v>2127</v>
      </c>
      <c r="L249" s="39">
        <v>1952</v>
      </c>
      <c r="M249" s="39">
        <v>1674</v>
      </c>
      <c r="N249" s="39">
        <v>1901</v>
      </c>
      <c r="O249" s="39">
        <v>1800</v>
      </c>
      <c r="P249" s="39">
        <v>1862</v>
      </c>
      <c r="Q249" s="39">
        <v>2559</v>
      </c>
      <c r="R249" s="39">
        <v>2576</v>
      </c>
      <c r="S249" s="39">
        <v>2419</v>
      </c>
      <c r="T249" s="39">
        <v>2083</v>
      </c>
      <c r="U249" s="39">
        <v>1893</v>
      </c>
      <c r="V249" s="39">
        <v>2045</v>
      </c>
      <c r="W249" s="39">
        <v>1956</v>
      </c>
      <c r="X249" s="50" t="s">
        <v>734</v>
      </c>
    </row>
    <row r="250" spans="1:24" x14ac:dyDescent="0.2">
      <c r="A250" s="5" t="s">
        <v>85</v>
      </c>
      <c r="B250" s="5" t="s">
        <v>448</v>
      </c>
      <c r="C250" s="7">
        <f>134</f>
        <v>134</v>
      </c>
      <c r="D250" s="1">
        <v>181</v>
      </c>
      <c r="E250" s="13" t="s">
        <v>19</v>
      </c>
      <c r="F250" s="14"/>
      <c r="G250" s="7">
        <v>350</v>
      </c>
      <c r="H250" s="7">
        <v>391</v>
      </c>
      <c r="I250" s="39">
        <v>246</v>
      </c>
      <c r="J250" s="39">
        <v>192</v>
      </c>
      <c r="K250" s="39">
        <v>278</v>
      </c>
      <c r="L250" s="39">
        <v>191</v>
      </c>
      <c r="M250" s="39">
        <v>132</v>
      </c>
      <c r="N250" s="39">
        <v>172</v>
      </c>
      <c r="O250" s="39">
        <v>227</v>
      </c>
      <c r="P250" s="39">
        <v>329</v>
      </c>
      <c r="Q250" s="39">
        <v>431</v>
      </c>
      <c r="R250" s="39">
        <v>405</v>
      </c>
      <c r="S250" s="39">
        <v>382</v>
      </c>
      <c r="T250" s="39">
        <v>456</v>
      </c>
      <c r="U250" s="39">
        <v>431</v>
      </c>
      <c r="V250" s="39">
        <v>403</v>
      </c>
      <c r="W250" s="39">
        <v>344</v>
      </c>
      <c r="X250" s="50" t="s">
        <v>734</v>
      </c>
    </row>
    <row r="251" spans="1:24" x14ac:dyDescent="0.2">
      <c r="A251" s="5" t="s">
        <v>86</v>
      </c>
      <c r="B251" s="5" t="s">
        <v>449</v>
      </c>
      <c r="C251" s="7">
        <f>24</f>
        <v>24</v>
      </c>
      <c r="D251" s="1">
        <v>14</v>
      </c>
      <c r="E251" s="13" t="s">
        <v>22</v>
      </c>
      <c r="F251" s="14"/>
      <c r="G251" s="7">
        <v>28</v>
      </c>
      <c r="H251" s="7">
        <v>22</v>
      </c>
      <c r="I251" s="39">
        <v>25</v>
      </c>
      <c r="J251" s="39">
        <v>11</v>
      </c>
      <c r="K251" s="39">
        <v>15</v>
      </c>
      <c r="L251" s="39">
        <v>18</v>
      </c>
      <c r="M251" s="39">
        <v>17</v>
      </c>
      <c r="N251" s="39">
        <v>16</v>
      </c>
      <c r="O251" s="39">
        <v>15</v>
      </c>
      <c r="P251" s="39">
        <v>22</v>
      </c>
      <c r="Q251" s="39">
        <v>39</v>
      </c>
      <c r="R251" s="39">
        <v>29</v>
      </c>
      <c r="S251" s="39">
        <v>24</v>
      </c>
      <c r="T251" s="39">
        <v>23</v>
      </c>
      <c r="U251" s="39">
        <v>26</v>
      </c>
      <c r="V251" s="39">
        <v>21</v>
      </c>
      <c r="W251" s="39">
        <v>27</v>
      </c>
      <c r="X251" s="50" t="s">
        <v>734</v>
      </c>
    </row>
    <row r="252" spans="1:24" x14ac:dyDescent="0.2">
      <c r="A252" s="5" t="s">
        <v>87</v>
      </c>
      <c r="B252" s="5" t="s">
        <v>450</v>
      </c>
      <c r="C252" s="7">
        <f>1487</f>
        <v>1487</v>
      </c>
      <c r="D252" s="1">
        <v>1895</v>
      </c>
      <c r="E252" s="13" t="s">
        <v>25</v>
      </c>
      <c r="F252" s="14"/>
      <c r="G252" s="7">
        <v>1931</v>
      </c>
      <c r="H252" s="7">
        <v>1784</v>
      </c>
      <c r="I252" s="39">
        <v>1406</v>
      </c>
      <c r="J252" s="39">
        <v>1629</v>
      </c>
      <c r="K252" s="39">
        <v>1790</v>
      </c>
      <c r="L252" s="39">
        <v>1597</v>
      </c>
      <c r="M252" s="39">
        <v>1606</v>
      </c>
      <c r="N252" s="39">
        <v>1740</v>
      </c>
      <c r="O252" s="39">
        <v>1556</v>
      </c>
      <c r="P252" s="39">
        <v>1806</v>
      </c>
      <c r="Q252" s="39">
        <v>2358</v>
      </c>
      <c r="R252" s="39">
        <v>2528</v>
      </c>
      <c r="S252" s="39">
        <v>2371</v>
      </c>
      <c r="T252" s="39">
        <v>2443</v>
      </c>
      <c r="U252" s="39">
        <v>2262</v>
      </c>
      <c r="V252" s="39">
        <v>2216</v>
      </c>
      <c r="W252" s="39">
        <v>1842</v>
      </c>
      <c r="X252" s="50" t="s">
        <v>734</v>
      </c>
    </row>
    <row r="253" spans="1:24" x14ac:dyDescent="0.2">
      <c r="A253" s="5" t="s">
        <v>133</v>
      </c>
      <c r="B253" s="5" t="s">
        <v>451</v>
      </c>
      <c r="C253" s="7">
        <f>18</f>
        <v>18</v>
      </c>
      <c r="D253" s="1">
        <v>40</v>
      </c>
      <c r="E253" s="13" t="s">
        <v>28</v>
      </c>
      <c r="F253" s="14"/>
      <c r="G253" s="7">
        <v>49</v>
      </c>
      <c r="H253" s="7">
        <v>45</v>
      </c>
      <c r="I253" s="39">
        <v>45</v>
      </c>
      <c r="J253" s="39">
        <f>6+25</f>
        <v>31</v>
      </c>
      <c r="K253" s="39">
        <v>27</v>
      </c>
      <c r="L253" s="39">
        <v>25</v>
      </c>
      <c r="M253" s="39">
        <v>21</v>
      </c>
      <c r="N253" s="39">
        <f>34+30</f>
        <v>64</v>
      </c>
      <c r="O253" s="39">
        <f>16+30</f>
        <v>46</v>
      </c>
      <c r="P253" s="39">
        <f>14+43</f>
        <v>57</v>
      </c>
      <c r="Q253" s="39">
        <f>8+37</f>
        <v>45</v>
      </c>
      <c r="R253" s="39">
        <f>1+37</f>
        <v>38</v>
      </c>
      <c r="S253" s="39">
        <v>39</v>
      </c>
      <c r="T253" s="39">
        <v>35</v>
      </c>
      <c r="U253" s="39">
        <f>2+32</f>
        <v>34</v>
      </c>
      <c r="V253" s="39">
        <f>2+21</f>
        <v>23</v>
      </c>
      <c r="W253" s="39">
        <v>5</v>
      </c>
      <c r="X253" s="50" t="s">
        <v>734</v>
      </c>
    </row>
    <row r="254" spans="1:24" x14ac:dyDescent="0.2">
      <c r="A254" s="5" t="s">
        <v>134</v>
      </c>
      <c r="B254" s="5" t="s">
        <v>452</v>
      </c>
      <c r="C254" s="5"/>
      <c r="D254" s="1"/>
      <c r="E254" s="13" t="s">
        <v>31</v>
      </c>
      <c r="F254" s="14"/>
      <c r="G254" s="7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</row>
    <row r="255" spans="1:24" x14ac:dyDescent="0.2">
      <c r="A255" s="5"/>
      <c r="B255" s="5" t="s">
        <v>453</v>
      </c>
      <c r="C255" s="7">
        <f>26</f>
        <v>26</v>
      </c>
      <c r="D255" s="1">
        <v>38</v>
      </c>
      <c r="E255" s="13" t="s">
        <v>34</v>
      </c>
      <c r="F255" s="14"/>
      <c r="G255" s="7">
        <v>26</v>
      </c>
      <c r="H255" s="7">
        <v>43</v>
      </c>
      <c r="I255" s="39">
        <v>32</v>
      </c>
      <c r="J255" s="39">
        <v>36</v>
      </c>
      <c r="K255" s="39">
        <v>30</v>
      </c>
      <c r="L255" s="39">
        <v>38</v>
      </c>
      <c r="M255" s="39">
        <v>26</v>
      </c>
      <c r="N255" s="39">
        <v>22</v>
      </c>
      <c r="O255" s="39">
        <v>24</v>
      </c>
      <c r="P255" s="39">
        <v>28</v>
      </c>
      <c r="Q255" s="39">
        <v>46</v>
      </c>
      <c r="R255" s="39">
        <v>45</v>
      </c>
      <c r="S255" s="39">
        <v>31</v>
      </c>
      <c r="T255" s="39">
        <v>34</v>
      </c>
      <c r="U255" s="39">
        <v>37</v>
      </c>
      <c r="V255" s="39">
        <v>44</v>
      </c>
      <c r="W255" s="39">
        <v>47</v>
      </c>
      <c r="X255" s="50" t="s">
        <v>734</v>
      </c>
    </row>
    <row r="256" spans="1:24" x14ac:dyDescent="0.2">
      <c r="A256" s="5" t="s">
        <v>135</v>
      </c>
      <c r="B256" s="5" t="s">
        <v>454</v>
      </c>
      <c r="C256" s="7">
        <f>2267</f>
        <v>2267</v>
      </c>
      <c r="D256" s="1">
        <v>2801</v>
      </c>
      <c r="E256" s="13" t="s">
        <v>37</v>
      </c>
      <c r="F256" s="6"/>
      <c r="G256" s="7">
        <v>3541</v>
      </c>
      <c r="H256" s="7">
        <v>3619</v>
      </c>
      <c r="I256" s="39">
        <v>3223</v>
      </c>
      <c r="J256" s="39">
        <v>3469</v>
      </c>
      <c r="K256" s="39">
        <v>3557</v>
      </c>
      <c r="L256" s="39">
        <v>3061</v>
      </c>
      <c r="M256" s="39">
        <v>2572</v>
      </c>
      <c r="N256" s="39">
        <v>3009</v>
      </c>
      <c r="O256" s="39">
        <v>2910</v>
      </c>
      <c r="P256" s="39">
        <v>3283</v>
      </c>
      <c r="Q256" s="39">
        <v>4526</v>
      </c>
      <c r="R256" s="39">
        <v>4167</v>
      </c>
      <c r="S256" s="39">
        <v>3550</v>
      </c>
      <c r="T256" s="39">
        <v>3301</v>
      </c>
      <c r="U256" s="39">
        <v>2959</v>
      </c>
      <c r="V256" s="39">
        <v>3304</v>
      </c>
      <c r="W256" s="39">
        <v>3077</v>
      </c>
      <c r="X256" s="50" t="s">
        <v>734</v>
      </c>
    </row>
    <row r="257" spans="1:24" x14ac:dyDescent="0.2">
      <c r="A257" s="5" t="s">
        <v>136</v>
      </c>
      <c r="B257" s="5" t="s">
        <v>455</v>
      </c>
      <c r="C257" s="7">
        <f>234</f>
        <v>234</v>
      </c>
      <c r="D257" s="1">
        <v>403</v>
      </c>
      <c r="E257" s="16" t="s">
        <v>147</v>
      </c>
      <c r="F257" s="6"/>
      <c r="G257" s="7">
        <v>421</v>
      </c>
      <c r="H257" s="7">
        <v>381</v>
      </c>
      <c r="I257" s="39">
        <v>344</v>
      </c>
      <c r="J257" s="39">
        <v>396</v>
      </c>
      <c r="K257" s="39">
        <v>414</v>
      </c>
      <c r="L257" s="39">
        <v>352</v>
      </c>
      <c r="M257" s="39">
        <v>305</v>
      </c>
      <c r="N257" s="39">
        <v>421</v>
      </c>
      <c r="O257" s="39">
        <v>610</v>
      </c>
      <c r="P257" s="39">
        <v>616</v>
      </c>
      <c r="Q257" s="39">
        <v>731</v>
      </c>
      <c r="R257" s="39">
        <v>627</v>
      </c>
      <c r="S257" s="39">
        <v>504</v>
      </c>
      <c r="T257" s="39">
        <v>509</v>
      </c>
      <c r="U257" s="39">
        <v>533</v>
      </c>
      <c r="V257" s="39">
        <v>467</v>
      </c>
      <c r="W257" s="39">
        <v>456</v>
      </c>
      <c r="X257" s="50" t="s">
        <v>734</v>
      </c>
    </row>
    <row r="258" spans="1:24" x14ac:dyDescent="0.2">
      <c r="A258" s="5"/>
      <c r="B258" s="5"/>
      <c r="C258" s="5"/>
      <c r="D258" s="1"/>
      <c r="E258" s="13" t="s">
        <v>148</v>
      </c>
      <c r="F258" s="6"/>
      <c r="G258" s="7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</row>
    <row r="259" spans="1:24" x14ac:dyDescent="0.2">
      <c r="A259" s="5" t="s">
        <v>88</v>
      </c>
      <c r="B259" s="5" t="s">
        <v>149</v>
      </c>
      <c r="C259" s="7">
        <f>3635</f>
        <v>3635</v>
      </c>
      <c r="D259" s="1">
        <v>4188</v>
      </c>
      <c r="E259" s="16">
        <v>1994</v>
      </c>
      <c r="F259" s="6"/>
      <c r="G259" s="7">
        <v>5137</v>
      </c>
      <c r="H259" s="7">
        <v>4818</v>
      </c>
      <c r="I259" s="39">
        <v>4114</v>
      </c>
      <c r="J259" s="39">
        <f>2089+2296</f>
        <v>4385</v>
      </c>
      <c r="K259" s="39">
        <f>2226+2127</f>
        <v>4353</v>
      </c>
      <c r="L259" s="39">
        <f>1945+1952</f>
        <v>3897</v>
      </c>
      <c r="M259" s="39">
        <f>1743+1674</f>
        <v>3417</v>
      </c>
      <c r="N259" s="45">
        <f>1831+1901</f>
        <v>3732</v>
      </c>
      <c r="O259" s="45">
        <f>1773+1800</f>
        <v>3573</v>
      </c>
      <c r="P259" s="39">
        <f>2142+1862</f>
        <v>4004</v>
      </c>
      <c r="Q259" s="39">
        <f>2807+2559</f>
        <v>5366</v>
      </c>
      <c r="R259" s="39">
        <f>2912+2576</f>
        <v>5488</v>
      </c>
      <c r="S259" s="39">
        <f>SUM(2449+2419)</f>
        <v>4868</v>
      </c>
      <c r="T259" s="39">
        <v>4371</v>
      </c>
      <c r="U259" s="39">
        <f>1993+1893</f>
        <v>3886</v>
      </c>
      <c r="V259" s="39">
        <f>2114+2045</f>
        <v>4159</v>
      </c>
      <c r="W259" s="39">
        <v>3902</v>
      </c>
      <c r="X259" s="50" t="s">
        <v>734</v>
      </c>
    </row>
    <row r="260" spans="1:24" x14ac:dyDescent="0.2">
      <c r="A260" s="5"/>
      <c r="B260" s="5"/>
      <c r="C260" s="5"/>
      <c r="D260" s="2"/>
      <c r="E260" s="17" t="s">
        <v>48</v>
      </c>
      <c r="F260" s="95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</row>
    <row r="261" spans="1:24" x14ac:dyDescent="0.2">
      <c r="A261" s="5" t="s">
        <v>108</v>
      </c>
      <c r="B261" s="5" t="s">
        <v>144</v>
      </c>
      <c r="C261" s="5"/>
      <c r="D261" s="2"/>
      <c r="E261" s="16" t="s">
        <v>51</v>
      </c>
      <c r="F261" s="96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</row>
    <row r="262" spans="1:24" x14ac:dyDescent="0.2">
      <c r="A262" s="5"/>
      <c r="B262" s="5" t="s">
        <v>57</v>
      </c>
      <c r="C262" s="22">
        <f>1.9</f>
        <v>1.9</v>
      </c>
      <c r="D262" s="2">
        <v>2.1</v>
      </c>
      <c r="E262" s="9" t="s">
        <v>150</v>
      </c>
      <c r="F262" s="96"/>
      <c r="G262" s="5">
        <v>2.2999999999999998</v>
      </c>
      <c r="H262" s="5">
        <v>2.4</v>
      </c>
      <c r="I262" s="41">
        <v>2.2000000000000002</v>
      </c>
      <c r="J262" s="41">
        <v>1.9</v>
      </c>
      <c r="K262" s="41">
        <v>2</v>
      </c>
      <c r="L262" s="41">
        <v>2.1</v>
      </c>
      <c r="M262" s="41">
        <v>2.2000000000000002</v>
      </c>
      <c r="N262" s="41">
        <v>2.2000000000000002</v>
      </c>
      <c r="O262" s="41">
        <v>2.2999999999999998</v>
      </c>
      <c r="P262" s="41">
        <v>2.2000000000000002</v>
      </c>
      <c r="Q262" s="41">
        <v>2.5</v>
      </c>
      <c r="R262" s="41">
        <v>2.1</v>
      </c>
      <c r="S262" s="41">
        <v>2</v>
      </c>
      <c r="T262" s="41">
        <v>1.8</v>
      </c>
      <c r="U262" s="41">
        <v>1.7</v>
      </c>
      <c r="V262" s="41">
        <v>1.9</v>
      </c>
      <c r="W262" s="41">
        <v>1.9</v>
      </c>
      <c r="X262" s="50" t="s">
        <v>734</v>
      </c>
    </row>
    <row r="263" spans="1:24" x14ac:dyDescent="0.2">
      <c r="A263" s="5"/>
      <c r="B263" s="5"/>
      <c r="C263" s="5"/>
      <c r="D263" s="2"/>
      <c r="E263" s="5"/>
      <c r="F263" s="6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</row>
    <row r="264" spans="1:24" x14ac:dyDescent="0.2">
      <c r="A264" s="6" t="s">
        <v>121</v>
      </c>
      <c r="B264" s="6" t="s">
        <v>406</v>
      </c>
      <c r="C264" s="5"/>
      <c r="D264" s="1"/>
      <c r="E264" s="5"/>
      <c r="F264" s="6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</row>
    <row r="265" spans="1:24" x14ac:dyDescent="0.2">
      <c r="A265" s="6"/>
      <c r="B265" s="6"/>
      <c r="C265" s="5"/>
      <c r="D265" s="1"/>
      <c r="E265" s="5"/>
      <c r="F265" s="6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</row>
    <row r="266" spans="1:24" x14ac:dyDescent="0.2">
      <c r="A266" s="5" t="s">
        <v>4</v>
      </c>
      <c r="B266" s="6" t="s">
        <v>512</v>
      </c>
      <c r="C266" s="5"/>
      <c r="D266" s="1"/>
      <c r="E266" s="5"/>
      <c r="F266" s="6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</row>
    <row r="267" spans="1:24" x14ac:dyDescent="0.2">
      <c r="A267" s="5" t="s">
        <v>5</v>
      </c>
      <c r="B267" s="5" t="s">
        <v>484</v>
      </c>
      <c r="C267" s="7">
        <f>13903</f>
        <v>13903</v>
      </c>
      <c r="D267" s="1">
        <v>14923</v>
      </c>
      <c r="E267" s="15">
        <v>17253</v>
      </c>
      <c r="F267" s="6"/>
      <c r="G267" s="7">
        <v>16061</v>
      </c>
      <c r="H267" s="7">
        <v>15343</v>
      </c>
      <c r="I267" s="39">
        <v>14787</v>
      </c>
      <c r="J267" s="39">
        <v>16266</v>
      </c>
      <c r="K267" s="39">
        <v>13827</v>
      </c>
      <c r="L267" s="39">
        <v>13642</v>
      </c>
      <c r="M267" s="39">
        <v>15470</v>
      </c>
      <c r="N267" s="39">
        <v>15693</v>
      </c>
      <c r="O267" s="39">
        <v>16178</v>
      </c>
      <c r="P267" s="21"/>
      <c r="Q267" s="21"/>
      <c r="R267" s="21"/>
      <c r="S267" s="21"/>
      <c r="T267" s="21"/>
      <c r="U267" s="21"/>
    </row>
    <row r="268" spans="1:24" x14ac:dyDescent="0.2">
      <c r="A268" s="5"/>
      <c r="B268" s="5" t="s">
        <v>412</v>
      </c>
      <c r="C268" s="5"/>
      <c r="D268" s="1"/>
      <c r="E268" s="97"/>
      <c r="F268" s="98"/>
      <c r="G268" s="7"/>
      <c r="I268" s="39"/>
      <c r="J268" s="39"/>
      <c r="K268" s="39"/>
      <c r="L268" s="39"/>
      <c r="M268" s="39"/>
      <c r="N268" s="39"/>
      <c r="O268" s="39"/>
      <c r="P268" s="39">
        <v>16363</v>
      </c>
      <c r="Q268" s="39">
        <v>14525</v>
      </c>
      <c r="R268" s="39">
        <v>12835</v>
      </c>
      <c r="S268" s="39">
        <v>14645</v>
      </c>
      <c r="T268" s="39">
        <v>15000</v>
      </c>
      <c r="U268" s="39">
        <v>13922</v>
      </c>
      <c r="V268" s="39">
        <v>13251</v>
      </c>
      <c r="W268" s="39">
        <v>13332</v>
      </c>
      <c r="X268" s="39">
        <f>13039+25</f>
        <v>13064</v>
      </c>
    </row>
    <row r="269" spans="1:24" x14ac:dyDescent="0.2">
      <c r="A269" s="5" t="s">
        <v>8</v>
      </c>
      <c r="B269" s="5" t="s">
        <v>418</v>
      </c>
      <c r="C269" s="7">
        <f>26118</f>
        <v>26118</v>
      </c>
      <c r="D269" s="1">
        <v>26572</v>
      </c>
      <c r="E269" s="15">
        <v>25710</v>
      </c>
      <c r="F269" s="99"/>
      <c r="G269" s="7">
        <v>23534</v>
      </c>
      <c r="H269" s="7">
        <f>6915+17003</f>
        <v>23918</v>
      </c>
      <c r="I269" s="39">
        <v>24185</v>
      </c>
      <c r="J269" s="45">
        <v>24676</v>
      </c>
      <c r="K269" s="39">
        <v>24610</v>
      </c>
      <c r="L269" s="39">
        <v>25117</v>
      </c>
      <c r="M269" s="39">
        <v>30013</v>
      </c>
      <c r="N269" s="39">
        <v>31788</v>
      </c>
      <c r="O269" s="39">
        <f>8380+24375</f>
        <v>32755</v>
      </c>
      <c r="P269" s="39">
        <f>6813+21422</f>
        <v>28235</v>
      </c>
      <c r="Q269" s="39">
        <f>5258+21890</f>
        <v>27148</v>
      </c>
      <c r="R269" s="39">
        <f>3987+16782</f>
        <v>20769</v>
      </c>
      <c r="S269" s="39">
        <f>SUM(3424+15893)</f>
        <v>19317</v>
      </c>
      <c r="T269" s="39">
        <v>19847</v>
      </c>
      <c r="U269" s="39">
        <f>3595+25+15665</f>
        <v>19285</v>
      </c>
      <c r="V269" s="39">
        <f>3234+31+14799</f>
        <v>18064</v>
      </c>
      <c r="W269" s="39">
        <v>19104</v>
      </c>
      <c r="X269" s="39">
        <f>17605+2091</f>
        <v>19696</v>
      </c>
    </row>
    <row r="270" spans="1:24" x14ac:dyDescent="0.2">
      <c r="A270" s="5" t="s">
        <v>10</v>
      </c>
      <c r="B270" s="5" t="s">
        <v>419</v>
      </c>
      <c r="C270" s="7">
        <f>1957</f>
        <v>1957</v>
      </c>
      <c r="D270" s="1">
        <v>1449</v>
      </c>
      <c r="E270" s="15">
        <v>1428</v>
      </c>
      <c r="F270" s="99"/>
      <c r="G270" s="7">
        <v>1021</v>
      </c>
      <c r="H270" s="7">
        <v>1167</v>
      </c>
      <c r="I270" s="39">
        <v>1522</v>
      </c>
      <c r="J270" s="39">
        <v>1748</v>
      </c>
      <c r="K270" s="39">
        <v>1938</v>
      </c>
      <c r="L270" s="39">
        <v>2057</v>
      </c>
      <c r="M270" s="39">
        <v>2350</v>
      </c>
      <c r="N270" s="39">
        <v>2704</v>
      </c>
      <c r="O270" s="39">
        <v>2243</v>
      </c>
      <c r="P270" s="39">
        <v>4533</v>
      </c>
      <c r="Q270" s="39">
        <v>2923</v>
      </c>
      <c r="R270" s="39">
        <v>3294</v>
      </c>
      <c r="S270" s="39">
        <v>3443</v>
      </c>
      <c r="T270" s="39">
        <v>3363</v>
      </c>
      <c r="U270" s="39">
        <v>3325</v>
      </c>
      <c r="V270" s="39">
        <v>2867</v>
      </c>
      <c r="W270" s="39">
        <v>2944</v>
      </c>
      <c r="X270" s="39">
        <v>1826</v>
      </c>
    </row>
    <row r="271" spans="1:24" hidden="1" outlineLevel="1" x14ac:dyDescent="0.2">
      <c r="A271" s="5" t="s">
        <v>12</v>
      </c>
      <c r="B271" s="5" t="s">
        <v>151</v>
      </c>
      <c r="C271" s="7">
        <f>2766</f>
        <v>2766</v>
      </c>
      <c r="D271" s="1">
        <v>2157</v>
      </c>
      <c r="E271" s="15">
        <v>1753</v>
      </c>
      <c r="F271" s="99"/>
      <c r="G271" s="7">
        <v>1309</v>
      </c>
      <c r="H271" s="7">
        <v>1612</v>
      </c>
      <c r="I271" s="39">
        <v>1723</v>
      </c>
      <c r="J271" s="39">
        <v>1425</v>
      </c>
      <c r="K271" s="39">
        <v>1423</v>
      </c>
      <c r="L271" s="39">
        <v>1899</v>
      </c>
      <c r="M271" s="39">
        <v>2083</v>
      </c>
      <c r="N271" s="39">
        <v>1721</v>
      </c>
      <c r="O271" s="39">
        <v>4007</v>
      </c>
      <c r="P271" s="39"/>
      <c r="Q271" s="39"/>
      <c r="R271" s="39"/>
      <c r="S271" s="39"/>
      <c r="T271" s="39"/>
      <c r="U271" s="39"/>
      <c r="V271" s="39"/>
      <c r="W271" s="39"/>
      <c r="X271" s="39"/>
    </row>
    <row r="272" spans="1:24" collapsed="1" x14ac:dyDescent="0.2">
      <c r="A272" s="5"/>
      <c r="B272" s="5"/>
      <c r="C272" s="5"/>
      <c r="D272" s="1"/>
      <c r="E272" s="15"/>
      <c r="F272" s="99"/>
      <c r="G272" s="7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</row>
    <row r="273" spans="1:24" x14ac:dyDescent="0.2">
      <c r="A273" s="5" t="s">
        <v>59</v>
      </c>
      <c r="B273" s="6" t="s">
        <v>513</v>
      </c>
      <c r="C273" s="5"/>
      <c r="D273" s="1"/>
      <c r="E273" s="15"/>
      <c r="F273" s="99"/>
      <c r="G273" s="7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</row>
    <row r="274" spans="1:24" x14ac:dyDescent="0.2">
      <c r="A274" s="5" t="s">
        <v>60</v>
      </c>
      <c r="B274" s="5" t="s">
        <v>152</v>
      </c>
      <c r="C274" s="7">
        <f>5111</f>
        <v>5111</v>
      </c>
      <c r="D274" s="1">
        <v>8672</v>
      </c>
      <c r="E274" s="15">
        <v>6187</v>
      </c>
      <c r="F274" s="29" t="s">
        <v>7</v>
      </c>
      <c r="G274" s="7">
        <v>8417</v>
      </c>
      <c r="H274" s="7">
        <v>9520</v>
      </c>
      <c r="I274" s="39">
        <v>12839</v>
      </c>
      <c r="J274" s="39">
        <v>13260</v>
      </c>
      <c r="K274" s="39">
        <v>14212</v>
      </c>
      <c r="L274" s="39">
        <v>9896</v>
      </c>
      <c r="M274" s="39">
        <v>11132</v>
      </c>
      <c r="N274" s="39">
        <v>9540</v>
      </c>
      <c r="O274" s="39">
        <v>9013</v>
      </c>
      <c r="P274" s="39">
        <v>9303</v>
      </c>
      <c r="Q274" s="39">
        <v>12531</v>
      </c>
      <c r="R274" s="39">
        <v>14821</v>
      </c>
      <c r="S274" s="39">
        <v>12602</v>
      </c>
      <c r="T274" s="39">
        <v>15479</v>
      </c>
      <c r="U274" s="39">
        <v>14456</v>
      </c>
      <c r="V274" s="39">
        <v>11012</v>
      </c>
      <c r="W274" s="39">
        <v>7519</v>
      </c>
      <c r="X274" s="39">
        <f>3482+110</f>
        <v>3592</v>
      </c>
    </row>
    <row r="275" spans="1:24" x14ac:dyDescent="0.2">
      <c r="A275" s="5" t="s">
        <v>62</v>
      </c>
      <c r="B275" s="5" t="s">
        <v>153</v>
      </c>
      <c r="C275" s="5"/>
      <c r="D275" s="1"/>
      <c r="E275" s="15"/>
      <c r="F275" s="99"/>
      <c r="G275" s="7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</row>
    <row r="276" spans="1:24" x14ac:dyDescent="0.2">
      <c r="A276" s="5"/>
      <c r="B276" s="5" t="s">
        <v>154</v>
      </c>
      <c r="C276" s="7">
        <f>166</f>
        <v>166</v>
      </c>
      <c r="D276" s="1">
        <v>194</v>
      </c>
      <c r="E276" s="15">
        <v>153</v>
      </c>
      <c r="F276" s="99"/>
      <c r="G276" s="7">
        <v>217</v>
      </c>
      <c r="H276" s="7">
        <v>200</v>
      </c>
      <c r="I276" s="39">
        <v>149</v>
      </c>
      <c r="J276" s="39">
        <v>127</v>
      </c>
      <c r="K276" s="39">
        <v>242</v>
      </c>
      <c r="L276" s="39">
        <v>269</v>
      </c>
      <c r="M276" s="39">
        <v>180</v>
      </c>
      <c r="N276" s="39">
        <v>169</v>
      </c>
      <c r="O276" s="39">
        <v>250</v>
      </c>
      <c r="P276" s="39">
        <v>410</v>
      </c>
      <c r="Q276" s="39">
        <v>381</v>
      </c>
      <c r="R276" s="39">
        <v>511</v>
      </c>
      <c r="S276" s="39">
        <v>410</v>
      </c>
      <c r="T276" s="39">
        <v>382</v>
      </c>
      <c r="U276" s="39">
        <v>309</v>
      </c>
      <c r="V276" s="39">
        <v>320</v>
      </c>
      <c r="W276" s="39">
        <v>318</v>
      </c>
      <c r="X276" s="39">
        <f>124+1</f>
        <v>125</v>
      </c>
    </row>
    <row r="277" spans="1:24" x14ac:dyDescent="0.2">
      <c r="A277" s="5" t="s">
        <v>63</v>
      </c>
      <c r="B277" s="5" t="s">
        <v>155</v>
      </c>
      <c r="C277" s="5"/>
      <c r="D277" s="1"/>
      <c r="E277" s="15"/>
      <c r="F277" s="99"/>
      <c r="G277" s="7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</row>
    <row r="278" spans="1:24" x14ac:dyDescent="0.2">
      <c r="A278" s="5"/>
      <c r="B278" s="5" t="s">
        <v>156</v>
      </c>
      <c r="C278" s="7">
        <f>78</f>
        <v>78</v>
      </c>
      <c r="D278" s="1">
        <v>103</v>
      </c>
      <c r="E278" s="15">
        <v>112</v>
      </c>
      <c r="F278" s="99"/>
      <c r="G278" s="7">
        <v>139</v>
      </c>
      <c r="H278" s="7">
        <v>146</v>
      </c>
      <c r="I278" s="39">
        <v>275</v>
      </c>
      <c r="J278" s="39">
        <v>384</v>
      </c>
      <c r="K278" s="39">
        <v>549</v>
      </c>
      <c r="L278" s="39">
        <v>296</v>
      </c>
      <c r="M278" s="39">
        <v>262</v>
      </c>
      <c r="N278" s="39">
        <v>298</v>
      </c>
      <c r="O278" s="39">
        <v>273</v>
      </c>
      <c r="P278" s="39">
        <v>36</v>
      </c>
      <c r="Q278" s="39">
        <v>93</v>
      </c>
      <c r="R278" s="39">
        <v>111</v>
      </c>
      <c r="S278" s="39">
        <v>99</v>
      </c>
      <c r="T278" s="39">
        <v>82</v>
      </c>
      <c r="U278" s="39">
        <v>76</v>
      </c>
      <c r="V278" s="39">
        <v>131</v>
      </c>
      <c r="W278" s="39">
        <v>71</v>
      </c>
      <c r="X278" s="39">
        <f>337+9</f>
        <v>346</v>
      </c>
    </row>
    <row r="279" spans="1:24" x14ac:dyDescent="0.2">
      <c r="A279" s="5" t="s">
        <v>65</v>
      </c>
      <c r="B279" s="5" t="s">
        <v>157</v>
      </c>
      <c r="C279" s="7">
        <f>223</f>
        <v>223</v>
      </c>
      <c r="D279" s="1">
        <v>141</v>
      </c>
      <c r="E279" s="15">
        <v>99</v>
      </c>
      <c r="F279" s="99"/>
      <c r="G279" s="7">
        <v>117</v>
      </c>
      <c r="H279" s="7">
        <v>99</v>
      </c>
      <c r="I279" s="39">
        <v>145</v>
      </c>
      <c r="J279" s="39">
        <v>271</v>
      </c>
      <c r="K279" s="39">
        <v>79</v>
      </c>
      <c r="L279" s="39">
        <v>33</v>
      </c>
      <c r="M279" s="39">
        <v>33</v>
      </c>
      <c r="N279" s="39">
        <v>61</v>
      </c>
      <c r="O279" s="39">
        <v>48</v>
      </c>
      <c r="P279" s="39">
        <v>98</v>
      </c>
      <c r="Q279" s="39">
        <v>49</v>
      </c>
      <c r="R279" s="39">
        <v>75</v>
      </c>
      <c r="S279" s="39">
        <v>60</v>
      </c>
      <c r="T279" s="39">
        <v>55</v>
      </c>
      <c r="U279" s="39">
        <v>195</v>
      </c>
      <c r="V279" s="39">
        <v>371</v>
      </c>
      <c r="W279" s="39">
        <v>530</v>
      </c>
      <c r="X279" s="39">
        <f>39+493</f>
        <v>532</v>
      </c>
    </row>
    <row r="280" spans="1:24" hidden="1" outlineLevel="1" x14ac:dyDescent="0.2">
      <c r="A280" s="5" t="s">
        <v>72</v>
      </c>
      <c r="B280" s="5" t="s">
        <v>158</v>
      </c>
      <c r="C280" s="7">
        <f>138</f>
        <v>138</v>
      </c>
      <c r="D280" s="1">
        <v>0</v>
      </c>
      <c r="E280" s="15">
        <v>0</v>
      </c>
      <c r="F280" s="99"/>
      <c r="G280" s="7">
        <v>1</v>
      </c>
      <c r="H280" s="7">
        <v>0</v>
      </c>
      <c r="I280" s="39">
        <v>0</v>
      </c>
      <c r="J280" s="39">
        <v>3</v>
      </c>
      <c r="K280" s="39">
        <v>0</v>
      </c>
      <c r="L280" s="39">
        <v>0</v>
      </c>
      <c r="M280" s="39">
        <v>0</v>
      </c>
      <c r="N280" s="39">
        <v>0</v>
      </c>
      <c r="O280" s="39">
        <v>5</v>
      </c>
      <c r="P280" s="39"/>
      <c r="Q280" s="39"/>
      <c r="R280" s="39"/>
      <c r="S280" s="39"/>
      <c r="T280" s="39"/>
      <c r="U280" s="39"/>
    </row>
    <row r="281" spans="1:24" hidden="1" outlineLevel="1" x14ac:dyDescent="0.2">
      <c r="A281" s="5"/>
      <c r="B281" s="5"/>
      <c r="C281" s="7"/>
      <c r="D281" s="1"/>
      <c r="E281" s="15"/>
      <c r="F281" s="99"/>
      <c r="G281" s="7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</row>
    <row r="282" spans="1:24" collapsed="1" x14ac:dyDescent="0.2">
      <c r="A282" s="5"/>
      <c r="B282" s="5"/>
      <c r="C282" s="7"/>
      <c r="D282" s="1"/>
      <c r="E282" s="15"/>
      <c r="F282" s="99"/>
      <c r="G282" s="7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</row>
    <row r="283" spans="1:24" hidden="1" outlineLevel="1" x14ac:dyDescent="0.2">
      <c r="A283" s="5"/>
      <c r="B283" s="5"/>
      <c r="C283" s="7"/>
      <c r="D283" s="1"/>
      <c r="E283" s="15"/>
      <c r="F283" s="99"/>
      <c r="G283" s="7"/>
      <c r="I283" s="39"/>
      <c r="J283" s="39"/>
      <c r="K283" s="39"/>
      <c r="L283" s="39"/>
      <c r="M283" s="39"/>
      <c r="N283" s="39"/>
      <c r="O283" s="39"/>
      <c r="P283" s="39"/>
      <c r="Q283" s="39"/>
      <c r="R283" s="38">
        <v>2006</v>
      </c>
      <c r="S283" s="38">
        <v>2007</v>
      </c>
      <c r="T283" s="38">
        <v>2008</v>
      </c>
      <c r="U283" s="38">
        <v>2009</v>
      </c>
      <c r="V283" s="38">
        <v>2010</v>
      </c>
    </row>
    <row r="284" spans="1:24" collapsed="1" x14ac:dyDescent="0.2">
      <c r="A284" s="5"/>
      <c r="B284" s="6" t="s">
        <v>403</v>
      </c>
      <c r="C284" s="7"/>
      <c r="D284" s="1"/>
      <c r="E284" s="15"/>
      <c r="F284" s="99"/>
      <c r="G284" s="7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</row>
    <row r="285" spans="1:24" x14ac:dyDescent="0.2">
      <c r="A285" s="6" t="s">
        <v>4</v>
      </c>
      <c r="B285" s="6" t="s">
        <v>710</v>
      </c>
      <c r="C285" s="7"/>
      <c r="D285" s="1"/>
      <c r="E285" s="15"/>
      <c r="F285" s="99"/>
      <c r="G285" s="7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</row>
    <row r="286" spans="1:24" x14ac:dyDescent="0.2">
      <c r="A286" s="32" t="s">
        <v>5</v>
      </c>
      <c r="B286" s="5" t="s">
        <v>404</v>
      </c>
      <c r="C286" s="7"/>
      <c r="D286" s="1"/>
      <c r="E286" s="15"/>
      <c r="F286" s="99"/>
      <c r="G286" s="7"/>
      <c r="I286" s="39"/>
      <c r="J286" s="39"/>
      <c r="K286" s="39"/>
      <c r="L286" s="39"/>
      <c r="M286" s="39"/>
      <c r="N286" s="39"/>
      <c r="O286" s="39"/>
      <c r="P286" s="39">
        <v>3455</v>
      </c>
      <c r="Q286" s="39">
        <v>2566</v>
      </c>
      <c r="R286" s="39">
        <v>2162</v>
      </c>
      <c r="S286" s="39">
        <v>2067</v>
      </c>
      <c r="T286" s="39">
        <f>1339+780+206</f>
        <v>2325</v>
      </c>
      <c r="U286" s="39">
        <f>150+223+96+935+779+1</f>
        <v>2184</v>
      </c>
      <c r="V286" s="39">
        <f>941+284+261+904+13</f>
        <v>2403</v>
      </c>
      <c r="W286" s="39">
        <f>951+408+282+812+2</f>
        <v>2455</v>
      </c>
      <c r="X286" s="39" t="s">
        <v>731</v>
      </c>
    </row>
    <row r="287" spans="1:24" x14ac:dyDescent="0.2">
      <c r="A287" s="32" t="s">
        <v>8</v>
      </c>
      <c r="B287" s="5" t="s">
        <v>405</v>
      </c>
      <c r="C287" s="7"/>
      <c r="D287" s="1"/>
      <c r="E287" s="15"/>
      <c r="F287" s="99"/>
      <c r="G287" s="7"/>
      <c r="I287" s="39"/>
      <c r="J287" s="39"/>
      <c r="K287" s="39"/>
      <c r="L287" s="39"/>
      <c r="M287" s="39"/>
      <c r="N287" s="39"/>
      <c r="O287" s="39"/>
      <c r="P287" s="39">
        <v>2309</v>
      </c>
      <c r="Q287" s="39">
        <v>754</v>
      </c>
      <c r="R287" s="39">
        <v>2510</v>
      </c>
      <c r="S287" s="39">
        <v>3048</v>
      </c>
      <c r="T287" s="39">
        <f>28+1844+1241</f>
        <v>3113</v>
      </c>
      <c r="U287" s="39">
        <f>1189+11+14+0+1380+0</f>
        <v>2594</v>
      </c>
      <c r="V287" s="39">
        <f>3+42+1189+741+0</f>
        <v>1975</v>
      </c>
      <c r="W287" s="39">
        <f>3+1067+55+812+0</f>
        <v>1937</v>
      </c>
      <c r="X287" s="39" t="s">
        <v>732</v>
      </c>
    </row>
    <row r="288" spans="1:24" x14ac:dyDescent="0.2">
      <c r="A288" s="32"/>
      <c r="B288" s="5"/>
      <c r="C288" s="7"/>
      <c r="D288" s="1"/>
      <c r="E288" s="15"/>
      <c r="F288" s="99"/>
      <c r="G288" s="7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</row>
    <row r="289" spans="1:24" x14ac:dyDescent="0.2">
      <c r="A289" s="6" t="s">
        <v>59</v>
      </c>
      <c r="B289" s="6" t="s">
        <v>711</v>
      </c>
      <c r="C289" s="7"/>
      <c r="D289" s="1"/>
      <c r="E289" s="15"/>
      <c r="F289" s="99"/>
      <c r="G289" s="7"/>
      <c r="I289" s="39"/>
      <c r="J289" s="39"/>
      <c r="K289" s="39"/>
      <c r="L289" s="39"/>
      <c r="M289" s="39"/>
      <c r="N289" s="39"/>
      <c r="O289" s="39"/>
      <c r="P289" s="39">
        <v>5311</v>
      </c>
      <c r="Q289" s="39">
        <v>1023</v>
      </c>
      <c r="R289" s="39">
        <v>506</v>
      </c>
      <c r="S289" s="39">
        <v>627</v>
      </c>
      <c r="T289" s="39">
        <f>51+342+135</f>
        <v>528</v>
      </c>
      <c r="U289" s="39">
        <f>119+9+7+32+173+0</f>
        <v>340</v>
      </c>
      <c r="V289" s="39">
        <f>72+26+133+182+0</f>
        <v>413</v>
      </c>
      <c r="W289" s="39">
        <f>28+118+24+206+0</f>
        <v>376</v>
      </c>
      <c r="X289" s="39" t="s">
        <v>733</v>
      </c>
    </row>
    <row r="290" spans="1:24" x14ac:dyDescent="0.2">
      <c r="A290" s="5"/>
      <c r="B290" s="5"/>
      <c r="C290" s="7"/>
      <c r="D290" s="1"/>
      <c r="E290" s="15"/>
      <c r="F290" s="99"/>
      <c r="G290" s="7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</row>
    <row r="291" spans="1:24" x14ac:dyDescent="0.2">
      <c r="A291" s="5"/>
      <c r="B291" s="5"/>
      <c r="C291" s="5"/>
      <c r="D291" s="2"/>
      <c r="E291" s="15"/>
      <c r="F291" s="99"/>
    </row>
    <row r="292" spans="1:24" x14ac:dyDescent="0.2">
      <c r="A292" s="5"/>
      <c r="B292" s="6" t="s">
        <v>159</v>
      </c>
      <c r="C292" s="5"/>
      <c r="D292" s="2"/>
      <c r="E292" s="7"/>
      <c r="F292" s="99"/>
    </row>
    <row r="293" spans="1:24" x14ac:dyDescent="0.2">
      <c r="A293" s="5"/>
      <c r="B293" s="5"/>
      <c r="C293" s="5"/>
      <c r="D293" s="2"/>
      <c r="E293" s="7"/>
      <c r="F293" s="99"/>
    </row>
    <row r="294" spans="1:24" x14ac:dyDescent="0.2">
      <c r="A294" s="5"/>
      <c r="B294" s="6" t="s">
        <v>160</v>
      </c>
      <c r="C294" s="5"/>
      <c r="D294" s="2"/>
      <c r="E294" s="7"/>
      <c r="F294" s="99"/>
    </row>
    <row r="295" spans="1:24" x14ac:dyDescent="0.2">
      <c r="A295" s="6" t="s">
        <v>2</v>
      </c>
      <c r="B295" s="6" t="s">
        <v>508</v>
      </c>
      <c r="C295" s="5"/>
      <c r="D295" s="2"/>
      <c r="E295" s="7"/>
      <c r="F295" s="99"/>
      <c r="V295" s="39"/>
    </row>
    <row r="296" spans="1:24" x14ac:dyDescent="0.2">
      <c r="A296" s="5" t="s">
        <v>4</v>
      </c>
      <c r="B296" s="5" t="s">
        <v>61</v>
      </c>
      <c r="C296" s="7">
        <f>15700</f>
        <v>15700</v>
      </c>
      <c r="D296" s="1">
        <f>16043</f>
        <v>16043</v>
      </c>
      <c r="E296" s="30">
        <v>15524</v>
      </c>
      <c r="F296" s="29" t="s">
        <v>7</v>
      </c>
      <c r="G296" s="7">
        <v>14498</v>
      </c>
      <c r="H296" s="7">
        <v>14243</v>
      </c>
      <c r="I296" s="39">
        <v>14745</v>
      </c>
      <c r="J296" s="39">
        <v>13612</v>
      </c>
      <c r="K296" s="39">
        <v>13855</v>
      </c>
      <c r="L296" s="39">
        <v>14738</v>
      </c>
      <c r="M296" s="39">
        <v>14605</v>
      </c>
      <c r="N296" s="39">
        <v>15379</v>
      </c>
      <c r="O296" s="39">
        <v>17256</v>
      </c>
      <c r="P296" s="39">
        <v>17836</v>
      </c>
      <c r="Q296" s="39">
        <v>18271</v>
      </c>
      <c r="R296" s="39">
        <v>17351</v>
      </c>
      <c r="S296" s="39">
        <v>17391</v>
      </c>
      <c r="T296" s="39">
        <v>16943</v>
      </c>
      <c r="U296" s="39">
        <v>17113</v>
      </c>
      <c r="V296" s="39">
        <v>16044</v>
      </c>
      <c r="W296" s="39">
        <v>15693</v>
      </c>
      <c r="X296" s="39">
        <v>14741</v>
      </c>
    </row>
    <row r="297" spans="1:24" x14ac:dyDescent="0.2">
      <c r="A297" s="5" t="s">
        <v>59</v>
      </c>
      <c r="B297" s="5" t="s">
        <v>9</v>
      </c>
      <c r="C297" s="7">
        <f>16019</f>
        <v>16019</v>
      </c>
      <c r="D297" s="1">
        <f>17197</f>
        <v>17197</v>
      </c>
      <c r="E297" s="30">
        <v>15878</v>
      </c>
      <c r="F297" s="29" t="s">
        <v>7</v>
      </c>
      <c r="G297" s="7">
        <v>14808</v>
      </c>
      <c r="H297" s="7">
        <v>14424</v>
      </c>
      <c r="I297" s="39">
        <v>14931</v>
      </c>
      <c r="J297" s="39">
        <v>14087</v>
      </c>
      <c r="K297" s="39">
        <v>13965</v>
      </c>
      <c r="L297" s="39">
        <v>14005</v>
      </c>
      <c r="M297" s="39">
        <v>14349</v>
      </c>
      <c r="N297" s="39">
        <v>14628</v>
      </c>
      <c r="O297" s="39">
        <v>16189</v>
      </c>
      <c r="P297" s="39">
        <v>17514</v>
      </c>
      <c r="Q297" s="39">
        <v>17888</v>
      </c>
      <c r="R297" s="39">
        <v>17745</v>
      </c>
      <c r="S297" s="39">
        <v>17449</v>
      </c>
      <c r="T297" s="39">
        <v>17246</v>
      </c>
      <c r="U297" s="39">
        <v>15633</v>
      </c>
      <c r="V297" s="39">
        <v>16122</v>
      </c>
      <c r="W297" s="39">
        <v>16009</v>
      </c>
      <c r="X297" s="39">
        <v>14699</v>
      </c>
    </row>
    <row r="298" spans="1:24" x14ac:dyDescent="0.2">
      <c r="A298" s="5" t="s">
        <v>80</v>
      </c>
      <c r="B298" s="5" t="s">
        <v>11</v>
      </c>
      <c r="C298" s="7">
        <f>9815</f>
        <v>9815</v>
      </c>
      <c r="D298" s="1">
        <f>9240</f>
        <v>9240</v>
      </c>
      <c r="E298" s="30">
        <v>9002</v>
      </c>
      <c r="F298" s="29" t="s">
        <v>7</v>
      </c>
      <c r="G298" s="7">
        <v>8664</v>
      </c>
      <c r="H298" s="7">
        <v>8548</v>
      </c>
      <c r="I298" s="39">
        <v>8415</v>
      </c>
      <c r="J298" s="39">
        <v>7914</v>
      </c>
      <c r="K298" s="39">
        <v>7733</v>
      </c>
      <c r="L298" s="39">
        <v>8476</v>
      </c>
      <c r="M298" s="39">
        <v>8748</v>
      </c>
      <c r="N298" s="39">
        <v>9493</v>
      </c>
      <c r="O298" s="39">
        <v>10547</v>
      </c>
      <c r="P298" s="39">
        <v>10860</v>
      </c>
      <c r="Q298" s="39">
        <v>11280</v>
      </c>
      <c r="R298" s="39">
        <v>10864</v>
      </c>
      <c r="S298" s="39">
        <v>10822</v>
      </c>
      <c r="T298" s="39">
        <v>10516</v>
      </c>
      <c r="U298" s="39">
        <v>11986</v>
      </c>
      <c r="V298" s="39">
        <v>11906</v>
      </c>
      <c r="W298" s="39">
        <v>11590</v>
      </c>
      <c r="X298" s="39">
        <v>11636</v>
      </c>
    </row>
    <row r="299" spans="1:24" x14ac:dyDescent="0.2">
      <c r="A299" s="32" t="s">
        <v>82</v>
      </c>
      <c r="B299" s="5" t="s">
        <v>456</v>
      </c>
      <c r="C299" s="7"/>
      <c r="D299" s="1"/>
      <c r="E299" s="30"/>
      <c r="F299" s="29"/>
      <c r="G299" s="7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</row>
    <row r="300" spans="1:24" x14ac:dyDescent="0.2">
      <c r="A300" s="32" t="s">
        <v>335</v>
      </c>
      <c r="B300" s="5" t="s">
        <v>510</v>
      </c>
      <c r="C300" s="7"/>
      <c r="D300" s="1"/>
      <c r="E300" s="30"/>
      <c r="F300" s="29"/>
      <c r="G300" s="7"/>
      <c r="I300" s="39"/>
      <c r="J300" s="39"/>
      <c r="K300" s="39"/>
      <c r="L300" s="39"/>
      <c r="M300" s="39"/>
      <c r="N300" s="39"/>
      <c r="O300" s="39"/>
      <c r="P300" s="39">
        <v>42</v>
      </c>
      <c r="Q300" s="39">
        <v>5</v>
      </c>
      <c r="R300" s="39">
        <v>1</v>
      </c>
      <c r="S300" s="39">
        <v>2</v>
      </c>
      <c r="T300" s="39">
        <v>1</v>
      </c>
      <c r="U300" s="39">
        <v>1</v>
      </c>
      <c r="V300" s="39">
        <v>1</v>
      </c>
      <c r="W300" s="39">
        <v>3</v>
      </c>
      <c r="X300" s="39">
        <v>2</v>
      </c>
    </row>
    <row r="301" spans="1:24" x14ac:dyDescent="0.2">
      <c r="A301" s="32" t="s">
        <v>218</v>
      </c>
      <c r="B301" s="5" t="s">
        <v>415</v>
      </c>
      <c r="C301" s="7"/>
      <c r="D301" s="1"/>
      <c r="E301" s="30"/>
      <c r="F301" s="29"/>
      <c r="G301" s="7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</row>
    <row r="302" spans="1:24" x14ac:dyDescent="0.2">
      <c r="A302" s="32"/>
      <c r="B302" s="5" t="s">
        <v>416</v>
      </c>
      <c r="C302" s="7"/>
      <c r="D302" s="1"/>
      <c r="E302" s="30"/>
      <c r="F302" s="29"/>
      <c r="G302" s="7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</row>
    <row r="303" spans="1:24" x14ac:dyDescent="0.2">
      <c r="B303" s="5" t="s">
        <v>417</v>
      </c>
      <c r="C303" s="7"/>
      <c r="D303" s="1"/>
      <c r="E303" s="30"/>
      <c r="F303" s="29"/>
      <c r="G303" s="7"/>
      <c r="I303" s="39"/>
      <c r="J303" s="39"/>
      <c r="K303" s="39"/>
      <c r="L303" s="39"/>
      <c r="M303" s="39"/>
      <c r="N303" s="39"/>
      <c r="O303" s="39"/>
      <c r="P303" s="39">
        <v>260</v>
      </c>
      <c r="Q303" s="39">
        <v>64</v>
      </c>
      <c r="R303" s="39">
        <v>40</v>
      </c>
      <c r="S303" s="39">
        <v>30</v>
      </c>
      <c r="T303" s="39">
        <v>31</v>
      </c>
      <c r="U303" s="39">
        <v>21</v>
      </c>
      <c r="V303" s="39">
        <v>31</v>
      </c>
      <c r="W303" s="39">
        <v>30</v>
      </c>
      <c r="X303" s="39">
        <v>20</v>
      </c>
    </row>
    <row r="304" spans="1:24" ht="12.75" hidden="1" customHeight="1" outlineLevel="1" x14ac:dyDescent="0.2">
      <c r="A304" s="32" t="s">
        <v>86</v>
      </c>
      <c r="B304" s="5" t="s">
        <v>322</v>
      </c>
      <c r="C304" s="7"/>
      <c r="D304" s="1"/>
      <c r="E304" s="30"/>
      <c r="F304" s="29"/>
      <c r="G304" s="7"/>
      <c r="I304" s="39"/>
      <c r="J304" s="39"/>
      <c r="K304" s="39"/>
      <c r="L304" s="39"/>
      <c r="M304" s="39"/>
      <c r="N304" s="39"/>
      <c r="O304" s="39"/>
      <c r="P304" s="39">
        <v>0</v>
      </c>
      <c r="Q304" s="39">
        <v>0</v>
      </c>
      <c r="R304" s="39" t="s">
        <v>329</v>
      </c>
      <c r="S304" s="39" t="s">
        <v>329</v>
      </c>
      <c r="T304" s="39"/>
      <c r="U304" s="39"/>
      <c r="V304" s="39"/>
    </row>
    <row r="305" spans="1:24" ht="12.75" customHeight="1" collapsed="1" x14ac:dyDescent="0.2">
      <c r="A305" s="32"/>
      <c r="B305" s="5"/>
      <c r="C305" s="7"/>
      <c r="D305" s="1"/>
      <c r="E305" s="30"/>
      <c r="F305" s="29"/>
      <c r="G305" s="7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</row>
    <row r="306" spans="1:24" ht="12.75" customHeight="1" x14ac:dyDescent="0.2">
      <c r="A306" s="32"/>
      <c r="B306" s="5"/>
      <c r="C306" s="7"/>
      <c r="D306" s="1"/>
      <c r="E306" s="30"/>
      <c r="F306" s="29"/>
      <c r="G306" s="7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42">
        <v>2007</v>
      </c>
      <c r="T306" s="42">
        <v>2008</v>
      </c>
      <c r="U306" s="42">
        <v>2009</v>
      </c>
      <c r="V306" s="42">
        <v>2010</v>
      </c>
      <c r="W306" s="42">
        <v>2011</v>
      </c>
      <c r="X306" s="38">
        <v>2012</v>
      </c>
    </row>
    <row r="307" spans="1:24" x14ac:dyDescent="0.2">
      <c r="A307" s="32" t="s">
        <v>86</v>
      </c>
      <c r="B307" s="5" t="s">
        <v>323</v>
      </c>
      <c r="C307" s="7"/>
      <c r="D307" s="1"/>
      <c r="E307" s="30"/>
      <c r="F307" s="29"/>
      <c r="G307" s="7"/>
      <c r="I307" s="39"/>
      <c r="J307" s="39"/>
      <c r="K307" s="39"/>
      <c r="L307" s="39"/>
      <c r="M307" s="39"/>
      <c r="N307" s="39"/>
      <c r="O307" s="39"/>
      <c r="P307" s="39">
        <v>3952</v>
      </c>
      <c r="Q307" s="39">
        <v>4056</v>
      </c>
      <c r="R307" s="39">
        <v>4300</v>
      </c>
      <c r="S307" s="39">
        <v>4351</v>
      </c>
      <c r="T307" s="39">
        <v>4217</v>
      </c>
      <c r="U307" s="39">
        <v>3393</v>
      </c>
      <c r="V307" s="39">
        <v>3314</v>
      </c>
      <c r="W307" s="39">
        <v>3069</v>
      </c>
      <c r="X307" s="39">
        <v>2882</v>
      </c>
    </row>
    <row r="308" spans="1:24" x14ac:dyDescent="0.2">
      <c r="A308" s="32" t="s">
        <v>87</v>
      </c>
      <c r="B308" s="5" t="s">
        <v>321</v>
      </c>
      <c r="C308" s="7"/>
      <c r="D308" s="1"/>
      <c r="E308" s="30"/>
      <c r="F308" s="29"/>
      <c r="G308" s="7"/>
      <c r="I308" s="39"/>
      <c r="J308" s="39"/>
      <c r="K308" s="39"/>
      <c r="L308" s="39"/>
      <c r="M308" s="39"/>
      <c r="N308" s="39"/>
      <c r="O308" s="39"/>
      <c r="P308" s="39">
        <v>10044</v>
      </c>
      <c r="Q308" s="39">
        <v>10902</v>
      </c>
      <c r="R308" s="39">
        <v>10327</v>
      </c>
      <c r="S308" s="39">
        <v>11147</v>
      </c>
      <c r="T308" s="39">
        <v>11465</v>
      </c>
      <c r="U308" s="39">
        <v>10961</v>
      </c>
      <c r="V308" s="39">
        <v>11506</v>
      </c>
      <c r="W308" s="39">
        <v>11895</v>
      </c>
      <c r="X308" s="39">
        <v>11527</v>
      </c>
    </row>
    <row r="309" spans="1:24" x14ac:dyDescent="0.2">
      <c r="A309" s="32" t="s">
        <v>133</v>
      </c>
      <c r="B309" s="5" t="s">
        <v>324</v>
      </c>
      <c r="C309" s="7"/>
      <c r="D309" s="1"/>
      <c r="E309" s="30"/>
      <c r="F309" s="29"/>
      <c r="G309" s="7"/>
      <c r="I309" s="39"/>
      <c r="J309" s="39"/>
      <c r="K309" s="39"/>
      <c r="L309" s="39"/>
      <c r="M309" s="39"/>
      <c r="N309" s="39"/>
      <c r="O309" s="39"/>
      <c r="P309" s="39">
        <v>3216</v>
      </c>
      <c r="Q309" s="39">
        <v>2861</v>
      </c>
      <c r="R309" s="39">
        <v>3077</v>
      </c>
      <c r="S309" s="39">
        <v>1919</v>
      </c>
      <c r="T309" s="39">
        <v>1532</v>
      </c>
      <c r="U309" s="39">
        <v>1257</v>
      </c>
      <c r="V309" s="39">
        <v>1254</v>
      </c>
      <c r="W309" s="39">
        <v>998</v>
      </c>
      <c r="X309" s="39">
        <v>267</v>
      </c>
    </row>
    <row r="310" spans="1:24" hidden="1" outlineLevel="1" x14ac:dyDescent="0.2">
      <c r="A310" s="5"/>
      <c r="B310" s="5"/>
      <c r="C310" s="7"/>
      <c r="D310" s="1"/>
      <c r="E310" s="30"/>
      <c r="F310" s="29"/>
      <c r="G310" s="7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</row>
    <row r="311" spans="1:24" hidden="1" outlineLevel="1" x14ac:dyDescent="0.2">
      <c r="A311" s="5" t="s">
        <v>82</v>
      </c>
      <c r="B311" s="5" t="s">
        <v>13</v>
      </c>
      <c r="C311" s="5"/>
      <c r="D311" s="2"/>
      <c r="E311" s="5" t="s">
        <v>16</v>
      </c>
      <c r="F311" s="6"/>
      <c r="G311" s="7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</row>
    <row r="312" spans="1:24" hidden="1" outlineLevel="1" x14ac:dyDescent="0.2">
      <c r="A312" s="5" t="s">
        <v>84</v>
      </c>
      <c r="B312" s="5" t="s">
        <v>15</v>
      </c>
      <c r="C312" s="7">
        <f>260</f>
        <v>260</v>
      </c>
      <c r="D312" s="1">
        <f>149</f>
        <v>149</v>
      </c>
      <c r="E312" s="5" t="s">
        <v>19</v>
      </c>
      <c r="F312" s="6"/>
      <c r="G312" s="7">
        <v>154</v>
      </c>
      <c r="H312" s="7">
        <v>153</v>
      </c>
      <c r="I312" s="39">
        <v>206</v>
      </c>
      <c r="J312" s="39">
        <v>204</v>
      </c>
      <c r="K312" s="39">
        <v>192</v>
      </c>
      <c r="L312" s="39">
        <v>127</v>
      </c>
      <c r="M312" s="39">
        <v>178</v>
      </c>
      <c r="N312" s="39">
        <v>202</v>
      </c>
      <c r="O312" s="39">
        <v>236</v>
      </c>
      <c r="P312" s="39"/>
      <c r="Q312" s="39"/>
      <c r="R312" s="39"/>
      <c r="S312" s="39"/>
      <c r="T312" s="39"/>
      <c r="U312" s="39"/>
      <c r="V312" s="39"/>
      <c r="W312" s="39"/>
      <c r="X312" s="39"/>
    </row>
    <row r="313" spans="1:24" hidden="1" outlineLevel="1" x14ac:dyDescent="0.2">
      <c r="A313" s="5" t="s">
        <v>85</v>
      </c>
      <c r="B313" s="5" t="s">
        <v>161</v>
      </c>
      <c r="C313" s="7">
        <f>437</f>
        <v>437</v>
      </c>
      <c r="D313" s="1">
        <f>466</f>
        <v>466</v>
      </c>
      <c r="E313" s="5" t="s">
        <v>22</v>
      </c>
      <c r="F313" s="6"/>
      <c r="G313" s="7">
        <v>296</v>
      </c>
      <c r="H313" s="7">
        <v>283</v>
      </c>
      <c r="I313" s="39">
        <v>292</v>
      </c>
      <c r="J313" s="39">
        <v>238</v>
      </c>
      <c r="K313" s="39">
        <v>242</v>
      </c>
      <c r="L313" s="39">
        <v>206</v>
      </c>
      <c r="M313" s="39">
        <v>213</v>
      </c>
      <c r="N313" s="39">
        <v>234</v>
      </c>
      <c r="O313" s="39">
        <v>218</v>
      </c>
      <c r="P313" s="39"/>
      <c r="Q313" s="39"/>
      <c r="R313" s="39"/>
      <c r="S313" s="39"/>
      <c r="T313" s="39"/>
      <c r="U313" s="39"/>
      <c r="V313" s="39"/>
      <c r="W313" s="39"/>
      <c r="X313" s="39"/>
    </row>
    <row r="314" spans="1:24" hidden="1" outlineLevel="1" x14ac:dyDescent="0.2">
      <c r="A314" s="5" t="s">
        <v>86</v>
      </c>
      <c r="B314" s="5" t="s">
        <v>24</v>
      </c>
      <c r="C314" s="7">
        <f>2206</f>
        <v>2206</v>
      </c>
      <c r="D314" s="1">
        <f>2315</f>
        <v>2315</v>
      </c>
      <c r="E314" s="5" t="s">
        <v>25</v>
      </c>
      <c r="F314" s="6"/>
      <c r="G314" s="7">
        <v>2171</v>
      </c>
      <c r="H314" s="7">
        <v>2088</v>
      </c>
      <c r="I314" s="39">
        <v>2358</v>
      </c>
      <c r="J314" s="39">
        <v>2183</v>
      </c>
      <c r="K314" s="39">
        <v>2057</v>
      </c>
      <c r="L314" s="39">
        <v>2435</v>
      </c>
      <c r="M314" s="39">
        <v>2574</v>
      </c>
      <c r="N314" s="39">
        <v>2502</v>
      </c>
      <c r="O314" s="39">
        <v>3077</v>
      </c>
      <c r="P314" s="39"/>
      <c r="Q314" s="39"/>
      <c r="R314" s="39"/>
      <c r="S314" s="39"/>
      <c r="T314" s="39"/>
      <c r="U314" s="39"/>
      <c r="V314" s="39"/>
      <c r="W314" s="39"/>
      <c r="X314" s="39"/>
    </row>
    <row r="315" spans="1:24" hidden="1" outlineLevel="1" x14ac:dyDescent="0.2">
      <c r="A315" s="5" t="s">
        <v>87</v>
      </c>
      <c r="B315" s="5" t="s">
        <v>33</v>
      </c>
      <c r="C315" s="7">
        <f>59</f>
        <v>59</v>
      </c>
      <c r="D315" s="1">
        <f>98</f>
        <v>98</v>
      </c>
      <c r="E315" s="5" t="s">
        <v>162</v>
      </c>
      <c r="F315" s="6"/>
      <c r="G315" s="7">
        <v>74</v>
      </c>
      <c r="H315" s="7">
        <v>79</v>
      </c>
      <c r="I315" s="39">
        <v>84</v>
      </c>
      <c r="J315" s="39">
        <v>83</v>
      </c>
      <c r="K315" s="39">
        <v>82</v>
      </c>
      <c r="L315" s="39">
        <v>57</v>
      </c>
      <c r="M315" s="39">
        <v>46</v>
      </c>
      <c r="N315" s="39">
        <v>51</v>
      </c>
      <c r="O315" s="39">
        <v>72</v>
      </c>
      <c r="P315" s="39"/>
      <c r="Q315" s="39"/>
      <c r="R315" s="39"/>
      <c r="S315" s="39"/>
      <c r="T315" s="39"/>
      <c r="U315" s="39"/>
      <c r="V315" s="39"/>
      <c r="W315" s="39"/>
      <c r="X315" s="39"/>
    </row>
    <row r="316" spans="1:24" hidden="1" outlineLevel="1" x14ac:dyDescent="0.2">
      <c r="A316" s="5" t="s">
        <v>133</v>
      </c>
      <c r="B316" s="5" t="s">
        <v>163</v>
      </c>
      <c r="C316" s="7">
        <f>9</f>
        <v>9</v>
      </c>
      <c r="D316" s="1">
        <f>3</f>
        <v>3</v>
      </c>
      <c r="E316" s="5" t="s">
        <v>164</v>
      </c>
      <c r="F316" s="6"/>
      <c r="G316" s="7">
        <v>5</v>
      </c>
      <c r="H316" s="7">
        <v>7</v>
      </c>
      <c r="I316" s="39">
        <v>5</v>
      </c>
      <c r="J316" s="39">
        <v>2</v>
      </c>
      <c r="K316" s="39">
        <v>2</v>
      </c>
      <c r="L316" s="39">
        <v>3</v>
      </c>
      <c r="M316" s="39">
        <v>3</v>
      </c>
      <c r="N316" s="39">
        <v>1</v>
      </c>
      <c r="O316" s="39">
        <v>1</v>
      </c>
      <c r="P316" s="39"/>
      <c r="Q316" s="39"/>
      <c r="R316" s="39"/>
      <c r="S316" s="39"/>
      <c r="T316" s="39"/>
      <c r="U316" s="39"/>
      <c r="V316" s="39"/>
      <c r="W316" s="39"/>
      <c r="X316" s="39"/>
    </row>
    <row r="317" spans="1:24" hidden="1" outlineLevel="1" x14ac:dyDescent="0.2">
      <c r="A317" s="5" t="s">
        <v>134</v>
      </c>
      <c r="B317" s="5" t="s">
        <v>165</v>
      </c>
      <c r="C317" s="7">
        <f>3</f>
        <v>3</v>
      </c>
      <c r="D317" s="1">
        <f>6</f>
        <v>6</v>
      </c>
      <c r="E317" s="5" t="s">
        <v>166</v>
      </c>
      <c r="F317" s="6"/>
      <c r="G317" s="7">
        <v>0</v>
      </c>
      <c r="H317" s="7">
        <v>1</v>
      </c>
      <c r="I317" s="39">
        <v>1</v>
      </c>
      <c r="J317" s="39">
        <v>0</v>
      </c>
      <c r="K317" s="39">
        <v>0</v>
      </c>
      <c r="L317" s="39">
        <v>0</v>
      </c>
      <c r="M317" s="39">
        <v>0</v>
      </c>
      <c r="N317" s="39">
        <v>0</v>
      </c>
      <c r="O317" s="39">
        <v>0</v>
      </c>
      <c r="P317" s="39"/>
      <c r="Q317" s="39"/>
      <c r="R317" s="39"/>
      <c r="S317" s="39"/>
      <c r="T317" s="39"/>
      <c r="U317" s="39"/>
      <c r="V317" s="39"/>
      <c r="W317" s="39"/>
      <c r="X317" s="39"/>
    </row>
    <row r="318" spans="1:24" hidden="1" outlineLevel="1" x14ac:dyDescent="0.2">
      <c r="A318" s="5" t="s">
        <v>135</v>
      </c>
      <c r="B318" s="5" t="s">
        <v>36</v>
      </c>
      <c r="C318" s="5"/>
      <c r="D318" s="2"/>
      <c r="E318" s="5" t="s">
        <v>167</v>
      </c>
      <c r="F318" s="6"/>
      <c r="G318" s="7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</row>
    <row r="319" spans="1:24" hidden="1" outlineLevel="1" x14ac:dyDescent="0.2">
      <c r="A319" s="5" t="s">
        <v>168</v>
      </c>
      <c r="B319" s="5" t="s">
        <v>45</v>
      </c>
      <c r="C319" s="7">
        <f>1029</f>
        <v>1029</v>
      </c>
      <c r="D319" s="1">
        <f>1123</f>
        <v>1123</v>
      </c>
      <c r="E319" s="5" t="s">
        <v>169</v>
      </c>
      <c r="F319" s="6"/>
      <c r="G319" s="7">
        <v>647</v>
      </c>
      <c r="H319" s="7">
        <v>596</v>
      </c>
      <c r="I319" s="39">
        <v>614</v>
      </c>
      <c r="J319" s="39">
        <v>561</v>
      </c>
      <c r="K319" s="39">
        <v>517</v>
      </c>
      <c r="L319" s="39">
        <v>535</v>
      </c>
      <c r="M319" s="39">
        <v>551</v>
      </c>
      <c r="N319" s="39">
        <v>391</v>
      </c>
      <c r="O319" s="39">
        <v>268</v>
      </c>
      <c r="P319" s="39"/>
      <c r="Q319" s="39"/>
      <c r="R319" s="39"/>
      <c r="S319" s="39"/>
      <c r="T319" s="39"/>
      <c r="U319" s="39"/>
      <c r="V319" s="39"/>
      <c r="W319" s="39"/>
      <c r="X319" s="39"/>
    </row>
    <row r="320" spans="1:24" hidden="1" outlineLevel="1" x14ac:dyDescent="0.2">
      <c r="A320" s="5" t="s">
        <v>170</v>
      </c>
      <c r="B320" s="5" t="s">
        <v>47</v>
      </c>
      <c r="C320" s="7">
        <f>16</f>
        <v>16</v>
      </c>
      <c r="D320" s="1">
        <f>16</f>
        <v>16</v>
      </c>
      <c r="E320" s="5" t="s">
        <v>171</v>
      </c>
      <c r="F320" s="6"/>
      <c r="G320" s="7">
        <v>19</v>
      </c>
      <c r="H320" s="7">
        <v>27</v>
      </c>
      <c r="I320" s="39">
        <v>18</v>
      </c>
      <c r="J320" s="39">
        <v>56</v>
      </c>
      <c r="K320" s="39">
        <v>154</v>
      </c>
      <c r="L320" s="39">
        <v>389</v>
      </c>
      <c r="M320" s="39">
        <v>692</v>
      </c>
      <c r="N320" s="39">
        <v>754</v>
      </c>
      <c r="O320" s="39">
        <v>925</v>
      </c>
      <c r="P320" s="39"/>
      <c r="Q320" s="39"/>
      <c r="R320" s="39"/>
      <c r="S320" s="39"/>
      <c r="T320" s="39"/>
      <c r="U320" s="39"/>
      <c r="V320" s="39"/>
      <c r="W320" s="39"/>
      <c r="X320" s="39"/>
    </row>
    <row r="321" spans="1:24" hidden="1" outlineLevel="1" x14ac:dyDescent="0.2">
      <c r="A321" s="5" t="s">
        <v>172</v>
      </c>
      <c r="B321" s="5" t="s">
        <v>50</v>
      </c>
      <c r="C321" s="7">
        <f>468</f>
        <v>468</v>
      </c>
      <c r="D321" s="1">
        <f>698</f>
        <v>698</v>
      </c>
      <c r="E321" s="5" t="s">
        <v>173</v>
      </c>
      <c r="F321" s="6"/>
      <c r="G321" s="7">
        <v>401</v>
      </c>
      <c r="H321" s="7">
        <v>361</v>
      </c>
      <c r="I321" s="39">
        <v>455</v>
      </c>
      <c r="J321" s="39">
        <v>383</v>
      </c>
      <c r="K321" s="39">
        <v>125</v>
      </c>
      <c r="L321" s="39">
        <v>82</v>
      </c>
      <c r="M321" s="39">
        <v>54</v>
      </c>
      <c r="N321" s="39">
        <v>44</v>
      </c>
      <c r="O321" s="39">
        <v>32</v>
      </c>
      <c r="P321" s="39"/>
      <c r="Q321" s="39"/>
      <c r="R321" s="39"/>
      <c r="S321" s="39"/>
      <c r="T321" s="39"/>
      <c r="U321" s="39"/>
      <c r="V321" s="39"/>
      <c r="W321" s="39"/>
      <c r="X321" s="39"/>
    </row>
    <row r="322" spans="1:24" hidden="1" outlineLevel="1" x14ac:dyDescent="0.2">
      <c r="A322" s="5" t="s">
        <v>136</v>
      </c>
      <c r="B322" s="5" t="s">
        <v>174</v>
      </c>
      <c r="C322" s="7">
        <f>11532</f>
        <v>11532</v>
      </c>
      <c r="D322" s="1">
        <f>12323</f>
        <v>12323</v>
      </c>
      <c r="E322" s="5" t="s">
        <v>175</v>
      </c>
      <c r="F322" s="6"/>
      <c r="G322" s="7">
        <v>11041</v>
      </c>
      <c r="H322" s="7">
        <v>10829</v>
      </c>
      <c r="I322" s="39">
        <v>10898</v>
      </c>
      <c r="J322" s="39">
        <v>10377</v>
      </c>
      <c r="K322" s="39">
        <v>10594</v>
      </c>
      <c r="L322" s="39">
        <v>10171</v>
      </c>
      <c r="M322" s="39">
        <v>10038</v>
      </c>
      <c r="N322" s="39">
        <v>10449</v>
      </c>
      <c r="O322" s="39">
        <v>11361</v>
      </c>
      <c r="P322" s="39"/>
      <c r="Q322" s="39"/>
      <c r="R322" s="39"/>
      <c r="S322" s="39"/>
      <c r="T322" s="39"/>
      <c r="U322" s="39"/>
      <c r="V322" s="39"/>
      <c r="W322" s="39"/>
      <c r="X322" s="39"/>
    </row>
    <row r="323" spans="1:24" collapsed="1" x14ac:dyDescent="0.2">
      <c r="A323" s="5" t="s">
        <v>88</v>
      </c>
      <c r="B323" s="5" t="s">
        <v>56</v>
      </c>
      <c r="C323" s="5"/>
      <c r="D323" s="2"/>
      <c r="E323" s="5" t="s">
        <v>176</v>
      </c>
      <c r="F323" s="6"/>
      <c r="G323" s="7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</row>
    <row r="324" spans="1:24" x14ac:dyDescent="0.2">
      <c r="A324" s="5"/>
      <c r="B324" s="5" t="s">
        <v>57</v>
      </c>
      <c r="C324" s="22">
        <f>6.4</f>
        <v>6.4</v>
      </c>
      <c r="D324" s="2">
        <v>6.1</v>
      </c>
      <c r="E324" s="5" t="s">
        <v>177</v>
      </c>
      <c r="F324" s="6"/>
      <c r="G324" s="24">
        <v>6.3</v>
      </c>
      <c r="H324" s="24">
        <v>6.5</v>
      </c>
      <c r="I324" s="40">
        <v>6.2</v>
      </c>
      <c r="J324" s="40">
        <v>6.2</v>
      </c>
      <c r="K324" s="40">
        <v>6.5</v>
      </c>
      <c r="L324" s="40">
        <v>6.3</v>
      </c>
      <c r="M324" s="40">
        <v>6.1</v>
      </c>
      <c r="N324" s="40">
        <v>6.5</v>
      </c>
      <c r="O324" s="40">
        <v>6.6</v>
      </c>
      <c r="P324" s="40">
        <v>6.5</v>
      </c>
      <c r="Q324" s="40">
        <v>6.9</v>
      </c>
      <c r="R324" s="40">
        <v>7.1</v>
      </c>
      <c r="S324" s="40">
        <v>6.8</v>
      </c>
      <c r="T324" s="40">
        <v>7.1</v>
      </c>
      <c r="U324" s="40">
        <v>7.3</v>
      </c>
      <c r="V324" s="40">
        <v>8</v>
      </c>
      <c r="W324" s="40">
        <v>8.5</v>
      </c>
      <c r="X324" s="40">
        <v>8.6</v>
      </c>
    </row>
    <row r="325" spans="1:24" x14ac:dyDescent="0.2">
      <c r="A325" s="5"/>
      <c r="B325" s="5"/>
      <c r="C325" s="22"/>
      <c r="D325" s="2"/>
      <c r="E325" s="92"/>
      <c r="F325" s="98"/>
      <c r="G325" s="24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</row>
    <row r="326" spans="1:24" hidden="1" outlineLevel="1" x14ac:dyDescent="0.2">
      <c r="A326" s="5"/>
      <c r="B326" s="5"/>
      <c r="C326" s="22"/>
      <c r="D326" s="2"/>
      <c r="E326" s="92"/>
      <c r="F326" s="98"/>
      <c r="G326" s="24"/>
      <c r="V326" s="7"/>
      <c r="W326" s="7"/>
      <c r="X326" s="7"/>
    </row>
    <row r="327" spans="1:24" hidden="1" outlineLevel="1" x14ac:dyDescent="0.2">
      <c r="A327" s="5"/>
      <c r="B327" s="5"/>
      <c r="C327" s="5">
        <f>1989</f>
        <v>1989</v>
      </c>
      <c r="D327" s="63">
        <f>1993</f>
        <v>1993</v>
      </c>
      <c r="E327" s="63">
        <f>1994</f>
        <v>1994</v>
      </c>
      <c r="F327" s="63"/>
      <c r="G327" s="63">
        <v>1995</v>
      </c>
      <c r="H327" s="63">
        <v>1996</v>
      </c>
      <c r="I327" s="42">
        <v>1997</v>
      </c>
      <c r="J327" s="42">
        <v>1998</v>
      </c>
      <c r="K327" s="42">
        <v>1999</v>
      </c>
      <c r="L327" s="42">
        <v>2000</v>
      </c>
      <c r="M327" s="42">
        <v>2001</v>
      </c>
      <c r="N327" s="42">
        <v>2002</v>
      </c>
      <c r="O327" s="42">
        <v>2003</v>
      </c>
      <c r="P327" s="42">
        <v>2004</v>
      </c>
      <c r="Q327" s="42">
        <v>2005</v>
      </c>
      <c r="R327" s="38">
        <v>2006</v>
      </c>
      <c r="S327" s="38">
        <v>2007</v>
      </c>
      <c r="T327" s="38">
        <v>2008</v>
      </c>
      <c r="U327" s="38">
        <v>2009</v>
      </c>
      <c r="V327" s="38"/>
      <c r="W327" s="38"/>
      <c r="X327" s="48"/>
    </row>
    <row r="328" spans="1:24" collapsed="1" x14ac:dyDescent="0.2">
      <c r="A328" s="6" t="s">
        <v>89</v>
      </c>
      <c r="B328" s="6" t="s">
        <v>509</v>
      </c>
      <c r="C328" s="5"/>
      <c r="D328" s="2"/>
      <c r="E328" s="7"/>
      <c r="F328" s="99"/>
      <c r="G328" s="90"/>
      <c r="V328" s="7"/>
      <c r="W328" s="7"/>
      <c r="X328" s="7"/>
    </row>
    <row r="329" spans="1:24" x14ac:dyDescent="0.2">
      <c r="A329" s="5" t="s">
        <v>4</v>
      </c>
      <c r="B329" s="5" t="s">
        <v>61</v>
      </c>
      <c r="C329" s="7">
        <f>3433</f>
        <v>3433</v>
      </c>
      <c r="D329" s="1">
        <f>2794</f>
        <v>2794</v>
      </c>
      <c r="E329" s="30">
        <v>2950</v>
      </c>
      <c r="F329" s="29" t="s">
        <v>7</v>
      </c>
      <c r="G329" s="7">
        <v>3053</v>
      </c>
      <c r="H329" s="7">
        <v>3172</v>
      </c>
      <c r="I329" s="39">
        <v>3132</v>
      </c>
      <c r="J329" s="39">
        <v>2877</v>
      </c>
      <c r="K329" s="39">
        <v>2797</v>
      </c>
      <c r="L329" s="39">
        <v>2715</v>
      </c>
      <c r="M329" s="39">
        <v>2530</v>
      </c>
      <c r="N329" s="39">
        <v>2285</v>
      </c>
      <c r="O329" s="39">
        <v>2101</v>
      </c>
      <c r="P329" s="39">
        <v>2175</v>
      </c>
      <c r="Q329" s="39">
        <v>2060</v>
      </c>
      <c r="R329" s="39">
        <v>1969</v>
      </c>
      <c r="S329" s="39">
        <v>1820</v>
      </c>
      <c r="T329" s="39">
        <v>1809</v>
      </c>
      <c r="U329" s="39">
        <v>1836</v>
      </c>
      <c r="V329" s="39">
        <v>2133</v>
      </c>
      <c r="W329" s="39">
        <v>1898</v>
      </c>
      <c r="X329" s="39">
        <v>1705</v>
      </c>
    </row>
    <row r="330" spans="1:24" x14ac:dyDescent="0.2">
      <c r="A330" s="5" t="s">
        <v>59</v>
      </c>
      <c r="B330" s="5" t="s">
        <v>9</v>
      </c>
      <c r="C330" s="7">
        <f>3550</f>
        <v>3550</v>
      </c>
      <c r="D330" s="1">
        <f>3068</f>
        <v>3068</v>
      </c>
      <c r="E330" s="30">
        <v>2899</v>
      </c>
      <c r="F330" s="29" t="s">
        <v>7</v>
      </c>
      <c r="G330" s="7">
        <v>2856</v>
      </c>
      <c r="H330" s="7">
        <v>3165</v>
      </c>
      <c r="I330" s="39">
        <v>3307</v>
      </c>
      <c r="J330" s="39">
        <v>2963</v>
      </c>
      <c r="K330" s="39">
        <v>2793</v>
      </c>
      <c r="L330" s="39">
        <v>2734</v>
      </c>
      <c r="M330" s="39">
        <v>2628</v>
      </c>
      <c r="N330" s="39">
        <v>2416</v>
      </c>
      <c r="O330" s="39">
        <v>2205</v>
      </c>
      <c r="P330" s="39">
        <v>2028</v>
      </c>
      <c r="Q330" s="39">
        <v>2084</v>
      </c>
      <c r="R330" s="39">
        <v>2007</v>
      </c>
      <c r="S330" s="39">
        <v>1952</v>
      </c>
      <c r="T330" s="39">
        <v>1800</v>
      </c>
      <c r="U330" s="39">
        <v>1744</v>
      </c>
      <c r="V330" s="39">
        <v>1697</v>
      </c>
      <c r="W330" s="39">
        <v>1873</v>
      </c>
      <c r="X330" s="39">
        <v>1976</v>
      </c>
    </row>
    <row r="331" spans="1:24" x14ac:dyDescent="0.2">
      <c r="A331" s="5" t="s">
        <v>80</v>
      </c>
      <c r="B331" s="5" t="s">
        <v>64</v>
      </c>
      <c r="C331" s="7">
        <f>2133</f>
        <v>2133</v>
      </c>
      <c r="D331" s="1">
        <f>1330</f>
        <v>1330</v>
      </c>
      <c r="E331" s="30">
        <v>1403</v>
      </c>
      <c r="F331" s="29" t="s">
        <v>7</v>
      </c>
      <c r="G331" s="7">
        <v>1594</v>
      </c>
      <c r="H331" s="7">
        <v>1596</v>
      </c>
      <c r="I331" s="39">
        <v>1393</v>
      </c>
      <c r="J331" s="39">
        <v>1316</v>
      </c>
      <c r="K331" s="39">
        <v>1296</v>
      </c>
      <c r="L331" s="39">
        <v>1272</v>
      </c>
      <c r="M331" s="39">
        <v>1140</v>
      </c>
      <c r="N331" s="39">
        <v>1006</v>
      </c>
      <c r="O331" s="39">
        <v>899</v>
      </c>
      <c r="P331" s="39">
        <v>1046</v>
      </c>
      <c r="Q331" s="39">
        <v>1023</v>
      </c>
      <c r="R331" s="39">
        <v>987</v>
      </c>
      <c r="S331" s="39">
        <v>848</v>
      </c>
      <c r="T331" s="39">
        <v>857</v>
      </c>
      <c r="U331" s="39">
        <v>948</v>
      </c>
      <c r="V331" s="39">
        <v>1383</v>
      </c>
      <c r="W331" s="39">
        <v>1408</v>
      </c>
      <c r="X331" s="39">
        <v>1137</v>
      </c>
    </row>
    <row r="332" spans="1:24" x14ac:dyDescent="0.2">
      <c r="A332" s="32" t="s">
        <v>82</v>
      </c>
      <c r="B332" s="5" t="s">
        <v>456</v>
      </c>
      <c r="C332" s="7"/>
      <c r="D332" s="1"/>
      <c r="E332" s="30"/>
      <c r="F332" s="29"/>
      <c r="G332" s="7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</row>
    <row r="333" spans="1:24" x14ac:dyDescent="0.2">
      <c r="A333" s="32" t="s">
        <v>84</v>
      </c>
      <c r="B333" s="5" t="s">
        <v>497</v>
      </c>
      <c r="C333" s="7"/>
      <c r="D333" s="1"/>
      <c r="E333" s="30"/>
      <c r="F333" s="29"/>
      <c r="G333" s="7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</row>
    <row r="334" spans="1:24" x14ac:dyDescent="0.2">
      <c r="A334" s="32"/>
      <c r="B334" s="5" t="s">
        <v>498</v>
      </c>
      <c r="C334" s="7"/>
      <c r="D334" s="1"/>
      <c r="E334" s="30"/>
      <c r="F334" s="29"/>
      <c r="G334" s="7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</row>
    <row r="335" spans="1:24" x14ac:dyDescent="0.2">
      <c r="B335" s="5" t="s">
        <v>499</v>
      </c>
      <c r="C335" s="7"/>
      <c r="D335" s="1"/>
      <c r="E335" s="30"/>
      <c r="F335" s="29"/>
      <c r="G335" s="7"/>
      <c r="I335" s="39"/>
      <c r="J335" s="39"/>
      <c r="K335" s="39"/>
      <c r="L335" s="39"/>
      <c r="M335" s="39"/>
      <c r="N335" s="39"/>
      <c r="O335" s="39"/>
      <c r="P335" s="39">
        <v>3</v>
      </c>
      <c r="Q335" s="39">
        <v>1</v>
      </c>
      <c r="R335" s="39">
        <v>4</v>
      </c>
      <c r="S335" s="39">
        <v>3</v>
      </c>
      <c r="T335" s="39">
        <v>0</v>
      </c>
      <c r="U335" s="39">
        <v>3</v>
      </c>
      <c r="V335" s="39">
        <v>3</v>
      </c>
      <c r="W335" s="39">
        <v>2</v>
      </c>
      <c r="X335" s="39">
        <v>0</v>
      </c>
    </row>
    <row r="336" spans="1:24" x14ac:dyDescent="0.2">
      <c r="A336" s="32" t="s">
        <v>85</v>
      </c>
      <c r="B336" s="5" t="s">
        <v>500</v>
      </c>
      <c r="C336" s="7"/>
      <c r="D336" s="1"/>
      <c r="E336" s="30"/>
      <c r="F336" s="29"/>
      <c r="G336" s="7"/>
      <c r="I336" s="39"/>
      <c r="J336" s="39"/>
      <c r="K336" s="39"/>
      <c r="L336" s="39"/>
      <c r="M336" s="39"/>
      <c r="N336" s="39"/>
      <c r="O336" s="39"/>
      <c r="P336" s="39">
        <v>2</v>
      </c>
      <c r="Q336" s="39">
        <v>1</v>
      </c>
      <c r="R336" s="39">
        <v>9</v>
      </c>
      <c r="S336" s="39">
        <v>2</v>
      </c>
      <c r="T336" s="39">
        <v>5</v>
      </c>
      <c r="U336" s="39">
        <v>6</v>
      </c>
      <c r="V336" s="39">
        <v>7</v>
      </c>
      <c r="W336" s="39">
        <v>8</v>
      </c>
      <c r="X336" s="39">
        <v>0</v>
      </c>
    </row>
    <row r="337" spans="1:24" x14ac:dyDescent="0.2">
      <c r="A337" s="32" t="s">
        <v>86</v>
      </c>
      <c r="B337" s="5" t="s">
        <v>501</v>
      </c>
      <c r="C337" s="7"/>
      <c r="D337" s="1"/>
      <c r="E337" s="30"/>
      <c r="F337" s="29"/>
      <c r="G337" s="7"/>
      <c r="I337" s="39"/>
      <c r="J337" s="39"/>
      <c r="K337" s="39"/>
      <c r="L337" s="39"/>
      <c r="M337" s="39"/>
      <c r="N337" s="39"/>
      <c r="O337" s="39"/>
      <c r="P337" s="39">
        <v>1883</v>
      </c>
      <c r="Q337" s="39">
        <v>2050</v>
      </c>
      <c r="R337" s="39">
        <v>1927</v>
      </c>
      <c r="S337" s="39">
        <v>1909</v>
      </c>
      <c r="T337" s="39">
        <v>1590</v>
      </c>
      <c r="U337" s="39">
        <v>1586</v>
      </c>
      <c r="V337" s="39">
        <v>1592</v>
      </c>
      <c r="W337" s="39">
        <v>1801</v>
      </c>
      <c r="X337" s="39">
        <v>1928</v>
      </c>
    </row>
    <row r="338" spans="1:24" x14ac:dyDescent="0.2">
      <c r="A338" s="32" t="s">
        <v>87</v>
      </c>
      <c r="B338" s="5" t="s">
        <v>502</v>
      </c>
      <c r="C338" s="7"/>
      <c r="D338" s="1"/>
      <c r="E338" s="30"/>
      <c r="F338" s="29"/>
      <c r="G338" s="7"/>
      <c r="I338" s="39"/>
      <c r="J338" s="39"/>
      <c r="K338" s="39"/>
      <c r="L338" s="39"/>
      <c r="M338" s="39"/>
      <c r="N338" s="39"/>
      <c r="O338" s="39"/>
      <c r="P338" s="39">
        <v>140</v>
      </c>
      <c r="Q338" s="39">
        <v>32</v>
      </c>
      <c r="R338" s="39">
        <v>67</v>
      </c>
      <c r="S338" s="39">
        <v>38</v>
      </c>
      <c r="T338" s="39">
        <v>203</v>
      </c>
      <c r="U338" s="39">
        <v>147</v>
      </c>
      <c r="V338" s="39">
        <v>95</v>
      </c>
      <c r="W338" s="39">
        <v>61</v>
      </c>
      <c r="X338" s="39">
        <v>48</v>
      </c>
    </row>
    <row r="339" spans="1:24" hidden="1" outlineLevel="1" x14ac:dyDescent="0.2">
      <c r="A339" s="5"/>
      <c r="B339" s="5"/>
      <c r="C339" s="7"/>
      <c r="D339" s="1"/>
      <c r="E339" s="30"/>
      <c r="F339" s="29"/>
      <c r="G339" s="7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</row>
    <row r="340" spans="1:24" hidden="1" outlineLevel="1" x14ac:dyDescent="0.2">
      <c r="A340" s="5" t="s">
        <v>82</v>
      </c>
      <c r="B340" s="5" t="s">
        <v>13</v>
      </c>
      <c r="C340" s="5"/>
      <c r="D340" s="2"/>
      <c r="E340" s="92"/>
      <c r="F340" s="98"/>
      <c r="G340" s="7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</row>
    <row r="341" spans="1:24" hidden="1" outlineLevel="1" x14ac:dyDescent="0.2">
      <c r="A341" s="5" t="s">
        <v>84</v>
      </c>
      <c r="B341" s="5" t="s">
        <v>71</v>
      </c>
      <c r="C341" s="7">
        <f>19</f>
        <v>19</v>
      </c>
      <c r="D341" s="1">
        <f>6</f>
        <v>6</v>
      </c>
      <c r="E341" s="5" t="s">
        <v>16</v>
      </c>
      <c r="F341" s="6"/>
      <c r="G341" s="7">
        <v>12</v>
      </c>
      <c r="H341" s="7">
        <v>12</v>
      </c>
      <c r="I341" s="39">
        <v>18</v>
      </c>
      <c r="J341" s="39">
        <v>23</v>
      </c>
      <c r="K341" s="39">
        <v>9</v>
      </c>
      <c r="L341" s="39">
        <v>3</v>
      </c>
      <c r="M341" s="39">
        <v>5</v>
      </c>
      <c r="N341" s="39">
        <v>6</v>
      </c>
      <c r="O341" s="39">
        <v>15</v>
      </c>
      <c r="P341" s="39"/>
      <c r="Q341" s="39"/>
      <c r="R341" s="39"/>
      <c r="S341" s="39"/>
      <c r="T341" s="39"/>
      <c r="U341" s="39"/>
      <c r="V341" s="39"/>
      <c r="W341" s="39"/>
      <c r="X341" s="39"/>
    </row>
    <row r="342" spans="1:24" hidden="1" outlineLevel="1" x14ac:dyDescent="0.2">
      <c r="A342" s="5" t="s">
        <v>85</v>
      </c>
      <c r="B342" s="5" t="s">
        <v>161</v>
      </c>
      <c r="C342" s="7">
        <f>1</f>
        <v>1</v>
      </c>
      <c r="D342" s="1">
        <v>0</v>
      </c>
      <c r="E342" s="5" t="s">
        <v>19</v>
      </c>
      <c r="F342" s="6"/>
      <c r="G342" s="7">
        <v>1</v>
      </c>
      <c r="H342" s="7">
        <v>3</v>
      </c>
      <c r="I342" s="39">
        <v>1</v>
      </c>
      <c r="J342" s="39">
        <v>2</v>
      </c>
      <c r="K342" s="39">
        <v>2</v>
      </c>
      <c r="L342" s="39">
        <v>1</v>
      </c>
      <c r="M342" s="39">
        <v>2</v>
      </c>
      <c r="N342" s="39">
        <v>0</v>
      </c>
      <c r="O342" s="39">
        <v>1</v>
      </c>
      <c r="P342" s="39"/>
      <c r="Q342" s="39"/>
      <c r="R342" s="39"/>
      <c r="S342" s="39"/>
      <c r="T342" s="39"/>
      <c r="U342" s="39"/>
      <c r="V342" s="39"/>
      <c r="W342" s="39"/>
      <c r="X342" s="39"/>
    </row>
    <row r="343" spans="1:24" hidden="1" outlineLevel="1" x14ac:dyDescent="0.2">
      <c r="A343" s="5" t="s">
        <v>86</v>
      </c>
      <c r="B343" s="5" t="s">
        <v>24</v>
      </c>
      <c r="C343" s="7">
        <f>3</f>
        <v>3</v>
      </c>
      <c r="D343" s="1">
        <f>8</f>
        <v>8</v>
      </c>
      <c r="E343" s="5" t="s">
        <v>22</v>
      </c>
      <c r="F343" s="6"/>
      <c r="G343" s="7">
        <v>6</v>
      </c>
      <c r="H343" s="7">
        <v>24</v>
      </c>
      <c r="I343" s="39">
        <v>11</v>
      </c>
      <c r="J343" s="39">
        <v>4</v>
      </c>
      <c r="K343" s="39">
        <v>8</v>
      </c>
      <c r="L343" s="39">
        <v>5</v>
      </c>
      <c r="M343" s="39">
        <v>3</v>
      </c>
      <c r="N343" s="39">
        <v>3</v>
      </c>
      <c r="O343" s="39">
        <v>5</v>
      </c>
      <c r="P343" s="39"/>
      <c r="Q343" s="39"/>
      <c r="R343" s="39"/>
      <c r="S343" s="39"/>
      <c r="T343" s="39"/>
      <c r="U343" s="39"/>
      <c r="V343" s="39"/>
      <c r="W343" s="39"/>
      <c r="X343" s="39"/>
    </row>
    <row r="344" spans="1:24" hidden="1" outlineLevel="1" x14ac:dyDescent="0.2">
      <c r="A344" s="5" t="s">
        <v>87</v>
      </c>
      <c r="B344" s="5" t="s">
        <v>33</v>
      </c>
      <c r="C344" s="7">
        <f>1</f>
        <v>1</v>
      </c>
      <c r="D344" s="1">
        <v>0</v>
      </c>
      <c r="E344" s="5" t="s">
        <v>25</v>
      </c>
      <c r="F344" s="6"/>
      <c r="G344" s="7">
        <v>3</v>
      </c>
      <c r="H344" s="7">
        <v>3</v>
      </c>
      <c r="I344" s="39">
        <v>4</v>
      </c>
      <c r="J344" s="39">
        <v>2</v>
      </c>
      <c r="K344" s="39">
        <v>2</v>
      </c>
      <c r="L344" s="39">
        <v>2</v>
      </c>
      <c r="M344" s="39">
        <v>0</v>
      </c>
      <c r="N344" s="39">
        <v>1</v>
      </c>
      <c r="O344" s="39">
        <v>0</v>
      </c>
      <c r="P344" s="39"/>
      <c r="Q344" s="39"/>
      <c r="R344" s="39"/>
      <c r="S344" s="39"/>
      <c r="T344" s="39"/>
      <c r="U344" s="39"/>
      <c r="V344" s="39"/>
      <c r="W344" s="39"/>
      <c r="X344" s="39"/>
    </row>
    <row r="345" spans="1:24" hidden="1" outlineLevel="1" x14ac:dyDescent="0.2">
      <c r="A345" s="5" t="s">
        <v>133</v>
      </c>
      <c r="B345" s="5" t="s">
        <v>36</v>
      </c>
      <c r="C345" s="5"/>
      <c r="D345" s="2"/>
      <c r="E345" s="5" t="s">
        <v>162</v>
      </c>
      <c r="F345" s="6"/>
      <c r="G345" s="7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</row>
    <row r="346" spans="1:24" hidden="1" outlineLevel="1" x14ac:dyDescent="0.2">
      <c r="A346" s="5" t="s">
        <v>178</v>
      </c>
      <c r="B346" s="5" t="s">
        <v>39</v>
      </c>
      <c r="C346" s="7">
        <f>1235</f>
        <v>1235</v>
      </c>
      <c r="D346" s="1">
        <f>1230</f>
        <v>1230</v>
      </c>
      <c r="E346" s="5" t="s">
        <v>164</v>
      </c>
      <c r="F346" s="6"/>
      <c r="G346" s="7">
        <v>943</v>
      </c>
      <c r="H346" s="7">
        <v>1014</v>
      </c>
      <c r="I346" s="39">
        <v>1058</v>
      </c>
      <c r="J346" s="39">
        <v>809</v>
      </c>
      <c r="K346" s="39">
        <v>819</v>
      </c>
      <c r="L346" s="39">
        <v>773</v>
      </c>
      <c r="M346" s="39">
        <v>635</v>
      </c>
      <c r="N346" s="39">
        <v>518</v>
      </c>
      <c r="O346" s="39">
        <v>445</v>
      </c>
      <c r="P346" s="39"/>
      <c r="Q346" s="39"/>
      <c r="R346" s="39"/>
      <c r="S346" s="39"/>
      <c r="T346" s="39"/>
      <c r="U346" s="39"/>
      <c r="V346" s="39"/>
      <c r="W346" s="39"/>
      <c r="X346" s="39"/>
    </row>
    <row r="347" spans="1:24" hidden="1" outlineLevel="1" x14ac:dyDescent="0.2">
      <c r="A347" s="5" t="s">
        <v>179</v>
      </c>
      <c r="B347" s="5" t="s">
        <v>42</v>
      </c>
      <c r="C347" s="7">
        <f>5</f>
        <v>5</v>
      </c>
      <c r="D347" s="1">
        <f>22</f>
        <v>22</v>
      </c>
      <c r="E347" s="5" t="s">
        <v>166</v>
      </c>
      <c r="F347" s="6"/>
      <c r="G347" s="7">
        <v>14</v>
      </c>
      <c r="H347" s="7">
        <v>15</v>
      </c>
      <c r="I347" s="39">
        <v>11</v>
      </c>
      <c r="J347" s="39">
        <v>12</v>
      </c>
      <c r="K347" s="39" t="s">
        <v>297</v>
      </c>
      <c r="L347" s="39" t="s">
        <v>297</v>
      </c>
      <c r="M347" s="39" t="s">
        <v>297</v>
      </c>
      <c r="N347" s="39" t="s">
        <v>297</v>
      </c>
      <c r="O347" s="39"/>
      <c r="P347" s="39"/>
      <c r="Q347" s="39"/>
      <c r="R347" s="39"/>
      <c r="S347" s="39"/>
      <c r="T347" s="39"/>
      <c r="U347" s="39"/>
      <c r="V347" s="39"/>
      <c r="W347" s="39"/>
      <c r="X347" s="39"/>
    </row>
    <row r="348" spans="1:24" hidden="1" outlineLevel="1" x14ac:dyDescent="0.2">
      <c r="A348" s="5" t="s">
        <v>180</v>
      </c>
      <c r="B348" s="5" t="s">
        <v>45</v>
      </c>
      <c r="C348" s="7">
        <f>451</f>
        <v>451</v>
      </c>
      <c r="D348" s="1">
        <f>337</f>
        <v>337</v>
      </c>
      <c r="E348" s="5" t="s">
        <v>167</v>
      </c>
      <c r="F348" s="6"/>
      <c r="G348" s="7">
        <v>315</v>
      </c>
      <c r="H348" s="7">
        <v>324</v>
      </c>
      <c r="I348" s="39">
        <v>303</v>
      </c>
      <c r="J348" s="39">
        <v>335</v>
      </c>
      <c r="K348" s="39">
        <v>268</v>
      </c>
      <c r="L348" s="39">
        <v>387</v>
      </c>
      <c r="M348" s="39">
        <v>347</v>
      </c>
      <c r="N348" s="39">
        <v>284</v>
      </c>
      <c r="O348" s="39">
        <v>175</v>
      </c>
      <c r="P348" s="39"/>
      <c r="Q348" s="39"/>
      <c r="R348" s="39"/>
      <c r="S348" s="39"/>
      <c r="T348" s="39"/>
      <c r="U348" s="39"/>
      <c r="V348" s="39"/>
      <c r="W348" s="39"/>
      <c r="X348" s="39"/>
    </row>
    <row r="349" spans="1:24" hidden="1" outlineLevel="1" x14ac:dyDescent="0.2">
      <c r="A349" s="5" t="s">
        <v>181</v>
      </c>
      <c r="B349" s="5" t="s">
        <v>47</v>
      </c>
      <c r="C349" s="7">
        <f>1</f>
        <v>1</v>
      </c>
      <c r="D349" s="1">
        <v>0</v>
      </c>
      <c r="E349" s="5" t="s">
        <v>169</v>
      </c>
      <c r="F349" s="6"/>
      <c r="G349" s="7">
        <v>4</v>
      </c>
      <c r="H349" s="7">
        <v>5</v>
      </c>
      <c r="I349" s="39">
        <v>1</v>
      </c>
      <c r="J349" s="39">
        <v>1</v>
      </c>
      <c r="K349" s="39">
        <v>15</v>
      </c>
      <c r="L349" s="39">
        <v>38</v>
      </c>
      <c r="M349" s="39">
        <v>65</v>
      </c>
      <c r="N349" s="39">
        <v>51</v>
      </c>
      <c r="O349" s="39">
        <v>45</v>
      </c>
      <c r="P349" s="39"/>
      <c r="Q349" s="39"/>
      <c r="R349" s="39"/>
      <c r="S349" s="39"/>
      <c r="T349" s="39"/>
      <c r="U349" s="39"/>
      <c r="V349" s="39"/>
      <c r="W349" s="39"/>
      <c r="X349" s="39"/>
    </row>
    <row r="350" spans="1:24" hidden="1" outlineLevel="1" x14ac:dyDescent="0.2">
      <c r="A350" s="5" t="s">
        <v>182</v>
      </c>
      <c r="B350" s="5" t="s">
        <v>50</v>
      </c>
      <c r="C350" s="7">
        <f>80</f>
        <v>80</v>
      </c>
      <c r="D350" s="1">
        <f>35</f>
        <v>35</v>
      </c>
      <c r="E350" s="5" t="s">
        <v>171</v>
      </c>
      <c r="F350" s="6"/>
      <c r="G350" s="7">
        <v>44</v>
      </c>
      <c r="H350" s="7">
        <v>23</v>
      </c>
      <c r="I350" s="39">
        <v>35</v>
      </c>
      <c r="J350" s="39">
        <v>14</v>
      </c>
      <c r="K350" s="39">
        <v>1</v>
      </c>
      <c r="L350" s="39">
        <v>0</v>
      </c>
      <c r="M350" s="39">
        <v>0</v>
      </c>
      <c r="N350" s="39">
        <v>0</v>
      </c>
      <c r="O350" s="39">
        <v>0</v>
      </c>
      <c r="P350" s="39"/>
      <c r="Q350" s="39"/>
      <c r="R350" s="39"/>
      <c r="S350" s="39"/>
      <c r="T350" s="39"/>
      <c r="U350" s="39"/>
      <c r="V350" s="39"/>
      <c r="W350" s="39"/>
      <c r="X350" s="39"/>
    </row>
    <row r="351" spans="1:24" hidden="1" outlineLevel="1" x14ac:dyDescent="0.2">
      <c r="A351" s="5" t="s">
        <v>134</v>
      </c>
      <c r="B351" s="5" t="s">
        <v>174</v>
      </c>
      <c r="C351" s="7">
        <f>1755</f>
        <v>1755</v>
      </c>
      <c r="D351" s="1">
        <f>1430</f>
        <v>1430</v>
      </c>
      <c r="E351" s="5" t="s">
        <v>173</v>
      </c>
      <c r="F351" s="6"/>
      <c r="G351" s="7">
        <v>1514</v>
      </c>
      <c r="H351" s="7">
        <v>1742</v>
      </c>
      <c r="I351" s="39">
        <v>1865</v>
      </c>
      <c r="J351" s="39">
        <v>1761</v>
      </c>
      <c r="K351" s="39">
        <v>1671</v>
      </c>
      <c r="L351" s="39">
        <v>1525</v>
      </c>
      <c r="M351" s="39">
        <v>1571</v>
      </c>
      <c r="N351" s="39">
        <v>1553</v>
      </c>
      <c r="O351" s="39">
        <v>1519</v>
      </c>
      <c r="P351" s="39"/>
      <c r="Q351" s="39"/>
      <c r="R351" s="39"/>
      <c r="S351" s="39"/>
      <c r="T351" s="39"/>
      <c r="U351" s="39"/>
      <c r="V351" s="39"/>
      <c r="W351" s="39"/>
      <c r="X351" s="39"/>
    </row>
    <row r="352" spans="1:24" collapsed="1" x14ac:dyDescent="0.2">
      <c r="A352" s="5"/>
      <c r="B352" s="5"/>
      <c r="C352" s="5"/>
      <c r="D352" s="2"/>
      <c r="E352" s="5" t="s">
        <v>175</v>
      </c>
      <c r="F352" s="6"/>
      <c r="G352" s="7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</row>
    <row r="353" spans="1:24" x14ac:dyDescent="0.2">
      <c r="A353" s="5" t="s">
        <v>88</v>
      </c>
      <c r="B353" s="5" t="s">
        <v>56</v>
      </c>
      <c r="C353" s="5"/>
      <c r="D353" s="2"/>
      <c r="E353" s="5" t="s">
        <v>176</v>
      </c>
      <c r="F353" s="6"/>
      <c r="G353" s="7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</row>
    <row r="354" spans="1:24" x14ac:dyDescent="0.2">
      <c r="A354" s="5"/>
      <c r="B354" s="5" t="s">
        <v>57</v>
      </c>
      <c r="C354" s="5">
        <f>7.2</f>
        <v>7.2</v>
      </c>
      <c r="D354" s="2">
        <v>6.1</v>
      </c>
      <c r="E354" s="5" t="s">
        <v>177</v>
      </c>
      <c r="F354" s="6"/>
      <c r="G354" s="24">
        <v>5.4</v>
      </c>
      <c r="H354" s="24">
        <v>5.6</v>
      </c>
      <c r="I354" s="40">
        <v>5.3</v>
      </c>
      <c r="J354" s="40">
        <v>5.2</v>
      </c>
      <c r="K354" s="40">
        <v>5.5</v>
      </c>
      <c r="L354" s="40">
        <v>5.4</v>
      </c>
      <c r="M354" s="40">
        <v>5.2</v>
      </c>
      <c r="N354" s="40">
        <v>5.5</v>
      </c>
      <c r="O354" s="40">
        <v>5.4</v>
      </c>
      <c r="P354" s="40">
        <v>5.4</v>
      </c>
      <c r="Q354" s="40">
        <v>5.5</v>
      </c>
      <c r="R354" s="40">
        <v>5.8</v>
      </c>
      <c r="S354" s="40">
        <v>5.7</v>
      </c>
      <c r="T354" s="40">
        <v>5.6</v>
      </c>
      <c r="U354" s="40">
        <v>6</v>
      </c>
      <c r="V354" s="40">
        <v>6.4</v>
      </c>
      <c r="W354" s="40">
        <v>7.1</v>
      </c>
      <c r="X354" s="40">
        <v>9.1</v>
      </c>
    </row>
    <row r="355" spans="1:24" x14ac:dyDescent="0.2">
      <c r="A355" s="5"/>
      <c r="B355" s="5"/>
      <c r="C355" s="5"/>
      <c r="D355" s="2"/>
      <c r="E355" s="5"/>
      <c r="F355" s="6"/>
      <c r="G355" s="7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</row>
    <row r="356" spans="1:24" x14ac:dyDescent="0.2">
      <c r="A356" s="6" t="s">
        <v>121</v>
      </c>
      <c r="B356" s="6" t="s">
        <v>183</v>
      </c>
      <c r="C356" s="7">
        <f>2584</f>
        <v>2584</v>
      </c>
      <c r="D356" s="1">
        <f>2756</f>
        <v>2756</v>
      </c>
      <c r="E356" s="7">
        <v>3086</v>
      </c>
      <c r="F356" s="29" t="s">
        <v>7</v>
      </c>
      <c r="G356" s="7">
        <v>2925</v>
      </c>
      <c r="H356" s="7">
        <v>2892</v>
      </c>
      <c r="I356" s="39">
        <v>3352</v>
      </c>
      <c r="J356" s="39">
        <f>1009+2258</f>
        <v>3267</v>
      </c>
      <c r="K356" s="39">
        <f>1174+2469</f>
        <v>3643</v>
      </c>
      <c r="L356" s="39">
        <f>1025+2744</f>
        <v>3769</v>
      </c>
      <c r="M356" s="39">
        <f>1004+2313</f>
        <v>3317</v>
      </c>
      <c r="N356" s="39">
        <f>1229+1752</f>
        <v>2981</v>
      </c>
      <c r="O356" s="39">
        <f>1291+1750</f>
        <v>3041</v>
      </c>
      <c r="P356" s="39">
        <v>3190</v>
      </c>
      <c r="Q356" s="39">
        <v>3045</v>
      </c>
      <c r="R356" s="39">
        <v>3092</v>
      </c>
      <c r="S356" s="39">
        <v>2989</v>
      </c>
      <c r="T356" s="39">
        <v>2830</v>
      </c>
      <c r="U356" s="39">
        <v>2826</v>
      </c>
      <c r="V356" s="39">
        <v>2566</v>
      </c>
      <c r="W356" s="39">
        <v>2094</v>
      </c>
      <c r="X356" s="39">
        <v>2219</v>
      </c>
    </row>
    <row r="357" spans="1:24" x14ac:dyDescent="0.2">
      <c r="A357" s="5"/>
      <c r="B357" s="5"/>
      <c r="C357" s="5"/>
      <c r="D357" s="2"/>
      <c r="E357" s="5"/>
      <c r="F357" s="6"/>
      <c r="G357" s="5"/>
    </row>
    <row r="358" spans="1:24" x14ac:dyDescent="0.2">
      <c r="A358" s="5"/>
      <c r="B358" s="6" t="s">
        <v>184</v>
      </c>
      <c r="C358" s="5"/>
      <c r="D358" s="2"/>
      <c r="E358" s="5"/>
      <c r="F358" s="6"/>
      <c r="G358" s="5"/>
    </row>
    <row r="359" spans="1:24" x14ac:dyDescent="0.2">
      <c r="A359" s="6" t="s">
        <v>336</v>
      </c>
      <c r="B359" s="6" t="s">
        <v>515</v>
      </c>
      <c r="C359" s="5"/>
      <c r="D359" s="2"/>
      <c r="E359" s="5"/>
      <c r="F359" s="6"/>
      <c r="G359" s="7"/>
    </row>
    <row r="360" spans="1:24" x14ac:dyDescent="0.2">
      <c r="A360" s="5" t="s">
        <v>4</v>
      </c>
      <c r="B360" s="5" t="s">
        <v>61</v>
      </c>
      <c r="C360" s="5">
        <f>494</f>
        <v>494</v>
      </c>
      <c r="D360" s="2">
        <v>416</v>
      </c>
      <c r="E360" s="25">
        <v>446</v>
      </c>
      <c r="F360" s="29" t="s">
        <v>7</v>
      </c>
      <c r="G360" s="7">
        <v>393</v>
      </c>
      <c r="H360" s="7">
        <v>417</v>
      </c>
      <c r="I360" s="39">
        <v>390</v>
      </c>
      <c r="J360" s="39">
        <v>458</v>
      </c>
      <c r="K360" s="39">
        <v>421</v>
      </c>
      <c r="L360" s="43" t="s">
        <v>277</v>
      </c>
      <c r="M360" s="39">
        <v>422</v>
      </c>
      <c r="N360" s="39">
        <v>435</v>
      </c>
      <c r="O360" s="39">
        <v>447</v>
      </c>
      <c r="P360" s="39">
        <v>419</v>
      </c>
      <c r="Q360" s="39">
        <v>431</v>
      </c>
      <c r="R360" s="39">
        <v>391</v>
      </c>
      <c r="S360" s="39">
        <v>303</v>
      </c>
      <c r="T360" s="39">
        <v>317</v>
      </c>
      <c r="U360" s="39">
        <v>326</v>
      </c>
      <c r="V360" s="39">
        <v>316</v>
      </c>
      <c r="W360" s="39">
        <v>297</v>
      </c>
      <c r="X360" s="39">
        <v>352</v>
      </c>
    </row>
    <row r="361" spans="1:24" x14ac:dyDescent="0.2">
      <c r="A361" s="5" t="s">
        <v>59</v>
      </c>
      <c r="B361" s="5" t="s">
        <v>9</v>
      </c>
      <c r="C361" s="5">
        <f>491</f>
        <v>491</v>
      </c>
      <c r="D361" s="2">
        <v>559</v>
      </c>
      <c r="E361" s="25">
        <v>482</v>
      </c>
      <c r="F361" s="29" t="s">
        <v>7</v>
      </c>
      <c r="G361" s="7">
        <v>425</v>
      </c>
      <c r="H361" s="7">
        <v>398</v>
      </c>
      <c r="I361" s="39">
        <v>403</v>
      </c>
      <c r="J361" s="39">
        <v>495</v>
      </c>
      <c r="K361" s="39">
        <v>451</v>
      </c>
      <c r="L361" s="43" t="s">
        <v>278</v>
      </c>
      <c r="M361" s="39">
        <v>412</v>
      </c>
      <c r="N361" s="39">
        <v>418</v>
      </c>
      <c r="O361" s="39">
        <v>434</v>
      </c>
      <c r="P361" s="39">
        <v>404</v>
      </c>
      <c r="Q361" s="39">
        <v>408</v>
      </c>
      <c r="R361" s="39">
        <v>423</v>
      </c>
      <c r="S361" s="39">
        <v>332</v>
      </c>
      <c r="T361" s="39">
        <v>336</v>
      </c>
      <c r="U361" s="39">
        <v>325</v>
      </c>
      <c r="V361" s="39">
        <v>309</v>
      </c>
      <c r="W361" s="39">
        <v>279</v>
      </c>
      <c r="X361" s="39">
        <v>324</v>
      </c>
    </row>
    <row r="362" spans="1:24" x14ac:dyDescent="0.2">
      <c r="A362" s="5" t="s">
        <v>80</v>
      </c>
      <c r="B362" s="5" t="s">
        <v>64</v>
      </c>
      <c r="C362" s="5">
        <f>296</f>
        <v>296</v>
      </c>
      <c r="D362" s="2">
        <v>290</v>
      </c>
      <c r="E362" s="25">
        <v>254</v>
      </c>
      <c r="F362" s="29" t="s">
        <v>7</v>
      </c>
      <c r="G362" s="7">
        <v>222</v>
      </c>
      <c r="H362" s="7">
        <v>239</v>
      </c>
      <c r="I362" s="39">
        <v>228</v>
      </c>
      <c r="J362" s="39">
        <v>192</v>
      </c>
      <c r="K362" s="39">
        <v>158</v>
      </c>
      <c r="L362" s="43" t="s">
        <v>279</v>
      </c>
      <c r="M362" s="39">
        <v>175</v>
      </c>
      <c r="N362" s="39">
        <v>194</v>
      </c>
      <c r="O362" s="39">
        <v>205</v>
      </c>
      <c r="P362" s="39">
        <v>226</v>
      </c>
      <c r="Q362" s="39">
        <v>236</v>
      </c>
      <c r="R362" s="39">
        <v>198</v>
      </c>
      <c r="S362" s="39">
        <v>178</v>
      </c>
      <c r="T362" s="39">
        <v>159</v>
      </c>
      <c r="U362" s="39">
        <v>160</v>
      </c>
      <c r="V362" s="39">
        <v>167</v>
      </c>
      <c r="W362" s="39">
        <v>185</v>
      </c>
      <c r="X362" s="39">
        <v>213</v>
      </c>
    </row>
    <row r="363" spans="1:24" x14ac:dyDescent="0.2">
      <c r="A363" s="5" t="s">
        <v>82</v>
      </c>
      <c r="B363" s="5" t="s">
        <v>456</v>
      </c>
      <c r="C363" s="5"/>
      <c r="D363" s="2"/>
      <c r="E363" s="92"/>
      <c r="F363" s="6"/>
      <c r="G363" s="7"/>
      <c r="I363" s="39"/>
      <c r="J363" s="39"/>
      <c r="K363" s="39"/>
      <c r="L363" s="43" t="s">
        <v>280</v>
      </c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</row>
    <row r="364" spans="1:24" x14ac:dyDescent="0.2">
      <c r="A364" s="5" t="s">
        <v>84</v>
      </c>
      <c r="B364" s="5" t="s">
        <v>440</v>
      </c>
      <c r="C364" s="5">
        <f>390</f>
        <v>390</v>
      </c>
      <c r="D364" s="2">
        <v>526</v>
      </c>
      <c r="E364" s="5" t="s">
        <v>16</v>
      </c>
      <c r="F364" s="6"/>
      <c r="G364" s="7">
        <v>392</v>
      </c>
      <c r="H364" s="7">
        <v>335</v>
      </c>
      <c r="I364" s="39">
        <v>354</v>
      </c>
      <c r="J364" s="39">
        <v>415</v>
      </c>
      <c r="K364" s="39">
        <v>375</v>
      </c>
      <c r="L364" s="43" t="s">
        <v>281</v>
      </c>
      <c r="M364" s="39">
        <v>328</v>
      </c>
      <c r="N364" s="39">
        <v>346</v>
      </c>
      <c r="O364" s="39">
        <v>342</v>
      </c>
      <c r="P364" s="39">
        <v>361</v>
      </c>
      <c r="Q364" s="39">
        <v>349</v>
      </c>
      <c r="R364" s="39">
        <v>361</v>
      </c>
      <c r="S364" s="39">
        <v>293</v>
      </c>
      <c r="T364" s="39">
        <v>280</v>
      </c>
      <c r="U364" s="39">
        <v>288</v>
      </c>
      <c r="V364" s="39">
        <v>263</v>
      </c>
      <c r="W364" s="39">
        <v>253</v>
      </c>
      <c r="X364" s="39">
        <v>300</v>
      </c>
    </row>
    <row r="365" spans="1:24" x14ac:dyDescent="0.2">
      <c r="A365" s="5" t="s">
        <v>85</v>
      </c>
      <c r="B365" s="5" t="s">
        <v>480</v>
      </c>
      <c r="C365" s="5"/>
      <c r="D365" s="2"/>
      <c r="E365" s="5"/>
      <c r="F365" s="6"/>
      <c r="G365" s="7"/>
      <c r="I365" s="39"/>
      <c r="J365" s="39"/>
      <c r="K365" s="39"/>
      <c r="L365" s="43"/>
      <c r="M365" s="39"/>
      <c r="N365" s="39"/>
      <c r="O365" s="39"/>
      <c r="P365" s="39">
        <v>2</v>
      </c>
      <c r="Q365" s="39">
        <v>6</v>
      </c>
      <c r="R365" s="39">
        <v>8</v>
      </c>
      <c r="S365" s="39">
        <v>4</v>
      </c>
      <c r="T365" s="39">
        <v>6</v>
      </c>
      <c r="U365" s="39">
        <f>1+10</f>
        <v>11</v>
      </c>
      <c r="V365" s="39">
        <f>0+2</f>
        <v>2</v>
      </c>
      <c r="W365" s="39">
        <f>0+2</f>
        <v>2</v>
      </c>
      <c r="X365" s="39">
        <f>1+0</f>
        <v>1</v>
      </c>
    </row>
    <row r="366" spans="1:24" x14ac:dyDescent="0.2">
      <c r="A366" s="5" t="s">
        <v>86</v>
      </c>
      <c r="B366" s="5" t="s">
        <v>458</v>
      </c>
      <c r="C366" s="5"/>
      <c r="D366" s="2"/>
      <c r="E366" s="5"/>
      <c r="F366" s="6"/>
      <c r="G366" s="7"/>
      <c r="I366" s="39"/>
      <c r="J366" s="39"/>
      <c r="K366" s="39"/>
      <c r="L366" s="43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</row>
    <row r="367" spans="1:24" x14ac:dyDescent="0.2">
      <c r="B367" s="5" t="s">
        <v>459</v>
      </c>
      <c r="C367" s="7" t="s">
        <v>185</v>
      </c>
      <c r="D367" s="31">
        <v>0</v>
      </c>
      <c r="E367" s="5" t="s">
        <v>19</v>
      </c>
      <c r="F367" s="6"/>
      <c r="G367" s="31">
        <v>0</v>
      </c>
      <c r="H367" s="7">
        <v>0</v>
      </c>
      <c r="I367" s="39">
        <v>0</v>
      </c>
      <c r="J367" s="39">
        <v>0</v>
      </c>
      <c r="K367" s="39">
        <v>1</v>
      </c>
      <c r="L367" s="43" t="s">
        <v>282</v>
      </c>
      <c r="M367" s="39">
        <v>1</v>
      </c>
      <c r="N367" s="39">
        <v>0</v>
      </c>
      <c r="O367" s="39">
        <v>0</v>
      </c>
      <c r="P367" s="39">
        <v>0</v>
      </c>
      <c r="Q367" s="39">
        <v>0</v>
      </c>
      <c r="R367" s="39">
        <v>0</v>
      </c>
      <c r="S367" s="39">
        <v>0</v>
      </c>
      <c r="T367" s="39">
        <v>0</v>
      </c>
      <c r="U367" s="39">
        <v>0</v>
      </c>
      <c r="V367" s="39">
        <v>0</v>
      </c>
      <c r="W367" s="39">
        <v>0</v>
      </c>
      <c r="X367" s="39">
        <v>0</v>
      </c>
    </row>
    <row r="368" spans="1:24" x14ac:dyDescent="0.2">
      <c r="A368" s="5" t="s">
        <v>87</v>
      </c>
      <c r="B368" s="5" t="s">
        <v>460</v>
      </c>
      <c r="C368" s="7" t="s">
        <v>185</v>
      </c>
      <c r="D368" s="31">
        <v>0</v>
      </c>
      <c r="E368" s="5" t="s">
        <v>22</v>
      </c>
      <c r="F368" s="6"/>
      <c r="G368" s="31">
        <v>0</v>
      </c>
      <c r="H368" s="7">
        <v>0</v>
      </c>
      <c r="I368" s="39">
        <v>1</v>
      </c>
      <c r="J368" s="39">
        <v>2</v>
      </c>
      <c r="K368" s="39">
        <v>2</v>
      </c>
      <c r="L368" s="43" t="s">
        <v>283</v>
      </c>
      <c r="M368" s="39">
        <v>0</v>
      </c>
      <c r="N368" s="39">
        <v>0</v>
      </c>
      <c r="O368" s="39">
        <v>1</v>
      </c>
      <c r="P368" s="39">
        <v>0</v>
      </c>
      <c r="Q368" s="39">
        <v>0</v>
      </c>
      <c r="R368" s="39">
        <v>1</v>
      </c>
      <c r="S368" s="39">
        <v>0</v>
      </c>
      <c r="T368" s="39">
        <v>0</v>
      </c>
      <c r="U368" s="39">
        <v>1</v>
      </c>
      <c r="V368" s="39">
        <v>0</v>
      </c>
      <c r="W368" s="39">
        <v>0</v>
      </c>
      <c r="X368" s="39">
        <v>0</v>
      </c>
    </row>
    <row r="369" spans="1:24" x14ac:dyDescent="0.2">
      <c r="A369" s="5" t="s">
        <v>133</v>
      </c>
      <c r="B369" s="5" t="s">
        <v>494</v>
      </c>
      <c r="C369" s="7"/>
      <c r="D369" s="31"/>
      <c r="E369" s="5"/>
      <c r="F369" s="6"/>
      <c r="G369" s="31"/>
      <c r="I369" s="39"/>
      <c r="J369" s="39"/>
      <c r="K369" s="39"/>
      <c r="L369" s="43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</row>
    <row r="370" spans="1:24" x14ac:dyDescent="0.2">
      <c r="B370" s="5" t="s">
        <v>495</v>
      </c>
      <c r="C370" s="5">
        <f>5</f>
        <v>5</v>
      </c>
      <c r="D370" s="2">
        <v>10</v>
      </c>
      <c r="E370" s="5" t="s">
        <v>25</v>
      </c>
      <c r="F370" s="6"/>
      <c r="G370" s="7">
        <v>9</v>
      </c>
      <c r="H370" s="7">
        <v>14</v>
      </c>
      <c r="I370" s="39">
        <v>12</v>
      </c>
      <c r="J370" s="39">
        <v>11</v>
      </c>
      <c r="K370" s="39">
        <v>3</v>
      </c>
      <c r="L370" s="43" t="s">
        <v>284</v>
      </c>
      <c r="M370" s="39">
        <v>19</v>
      </c>
      <c r="N370" s="39">
        <v>18</v>
      </c>
      <c r="O370" s="39">
        <v>12</v>
      </c>
      <c r="P370" s="39">
        <v>12</v>
      </c>
      <c r="Q370" s="39">
        <v>22</v>
      </c>
      <c r="R370" s="39">
        <v>18</v>
      </c>
      <c r="S370" s="39">
        <v>15</v>
      </c>
      <c r="T370" s="39">
        <v>22</v>
      </c>
      <c r="U370" s="39">
        <v>9</v>
      </c>
      <c r="V370" s="39">
        <v>17</v>
      </c>
      <c r="W370" s="39">
        <v>7</v>
      </c>
      <c r="X370" s="39">
        <v>6</v>
      </c>
    </row>
    <row r="371" spans="1:24" x14ac:dyDescent="0.2">
      <c r="A371" s="5" t="s">
        <v>134</v>
      </c>
      <c r="B371" s="5" t="s">
        <v>483</v>
      </c>
      <c r="C371" s="5">
        <f>86</f>
        <v>86</v>
      </c>
      <c r="D371" s="2">
        <v>14</v>
      </c>
      <c r="E371" s="5" t="s">
        <v>162</v>
      </c>
      <c r="F371" s="6"/>
      <c r="G371" s="7">
        <v>14</v>
      </c>
      <c r="H371" s="7">
        <v>28</v>
      </c>
      <c r="I371" s="39">
        <v>20</v>
      </c>
      <c r="J371" s="39">
        <v>50</v>
      </c>
      <c r="K371" s="39">
        <v>47</v>
      </c>
      <c r="L371" s="43" t="s">
        <v>285</v>
      </c>
      <c r="M371" s="39">
        <v>44</v>
      </c>
      <c r="N371" s="39">
        <v>37</v>
      </c>
      <c r="O371" s="39">
        <v>40</v>
      </c>
      <c r="P371" s="39">
        <v>21</v>
      </c>
      <c r="Q371" s="39">
        <v>20</v>
      </c>
      <c r="R371" s="39">
        <v>24</v>
      </c>
      <c r="S371" s="39">
        <v>12</v>
      </c>
      <c r="T371" s="39">
        <v>15</v>
      </c>
      <c r="U371" s="39">
        <v>7</v>
      </c>
      <c r="V371" s="39">
        <v>17</v>
      </c>
      <c r="W371" s="39">
        <v>13</v>
      </c>
      <c r="X371" s="39">
        <v>9</v>
      </c>
    </row>
    <row r="372" spans="1:24" x14ac:dyDescent="0.2">
      <c r="A372" s="5" t="s">
        <v>135</v>
      </c>
      <c r="B372" s="5" t="s">
        <v>445</v>
      </c>
      <c r="C372" s="5">
        <f>1</f>
        <v>1</v>
      </c>
      <c r="D372" s="31">
        <v>0</v>
      </c>
      <c r="E372" s="5" t="s">
        <v>164</v>
      </c>
      <c r="F372" s="6"/>
      <c r="G372" s="7">
        <v>2</v>
      </c>
      <c r="H372" s="7">
        <v>2</v>
      </c>
      <c r="I372" s="39">
        <v>1</v>
      </c>
      <c r="J372" s="39">
        <v>2</v>
      </c>
      <c r="K372" s="39">
        <v>0</v>
      </c>
      <c r="L372" s="43" t="s">
        <v>302</v>
      </c>
      <c r="M372" s="39">
        <v>2</v>
      </c>
      <c r="N372" s="39">
        <v>2</v>
      </c>
      <c r="O372" s="39">
        <v>3</v>
      </c>
      <c r="P372" s="39">
        <v>0</v>
      </c>
      <c r="Q372" s="39">
        <v>1</v>
      </c>
      <c r="R372" s="39">
        <v>0</v>
      </c>
      <c r="S372" s="39">
        <v>1</v>
      </c>
      <c r="T372" s="39">
        <v>3</v>
      </c>
      <c r="U372" s="39">
        <v>0</v>
      </c>
      <c r="V372" s="39">
        <v>2</v>
      </c>
      <c r="W372" s="39">
        <v>1</v>
      </c>
      <c r="X372" s="39">
        <v>2</v>
      </c>
    </row>
    <row r="373" spans="1:24" x14ac:dyDescent="0.2">
      <c r="A373" s="5" t="s">
        <v>136</v>
      </c>
      <c r="B373" s="5" t="s">
        <v>496</v>
      </c>
      <c r="C373" s="5">
        <f>9</f>
        <v>9</v>
      </c>
      <c r="D373" s="2">
        <v>8</v>
      </c>
      <c r="E373" s="5" t="s">
        <v>166</v>
      </c>
      <c r="F373" s="96"/>
      <c r="G373" s="7">
        <v>8</v>
      </c>
      <c r="H373" s="7">
        <v>11</v>
      </c>
      <c r="I373" s="39">
        <v>5</v>
      </c>
      <c r="J373" s="39">
        <v>8</v>
      </c>
      <c r="K373" s="39">
        <v>8</v>
      </c>
      <c r="L373" s="43" t="s">
        <v>303</v>
      </c>
      <c r="M373" s="39">
        <v>10</v>
      </c>
      <c r="N373" s="39">
        <v>5</v>
      </c>
      <c r="O373" s="39">
        <v>14</v>
      </c>
      <c r="P373" s="39">
        <v>8</v>
      </c>
      <c r="Q373" s="39">
        <v>10</v>
      </c>
      <c r="R373" s="39">
        <v>11</v>
      </c>
      <c r="S373" s="39">
        <v>7</v>
      </c>
      <c r="T373" s="39">
        <v>10</v>
      </c>
      <c r="U373" s="39">
        <v>9</v>
      </c>
      <c r="V373" s="39">
        <v>8</v>
      </c>
      <c r="W373" s="39">
        <v>3</v>
      </c>
      <c r="X373" s="39">
        <v>6</v>
      </c>
    </row>
    <row r="374" spans="1:24" x14ac:dyDescent="0.2">
      <c r="A374" s="5"/>
      <c r="B374" s="5"/>
      <c r="C374" s="5"/>
      <c r="D374" s="2"/>
      <c r="E374" s="5"/>
      <c r="F374" s="96"/>
      <c r="G374" s="7"/>
      <c r="I374" s="39"/>
      <c r="J374" s="39"/>
      <c r="K374" s="39"/>
      <c r="L374" s="43"/>
      <c r="M374" s="39"/>
      <c r="N374" s="39"/>
      <c r="O374" s="39"/>
      <c r="P374" s="39"/>
      <c r="Q374" s="39"/>
      <c r="R374" s="39"/>
      <c r="S374" s="39"/>
      <c r="T374" s="39"/>
      <c r="U374" s="39"/>
    </row>
    <row r="375" spans="1:24" hidden="1" outlineLevel="1" x14ac:dyDescent="0.2">
      <c r="A375" s="5"/>
      <c r="B375" s="5"/>
      <c r="C375" s="5"/>
      <c r="D375" s="2"/>
      <c r="E375" s="5" t="s">
        <v>167</v>
      </c>
      <c r="F375" s="6"/>
      <c r="G375" s="7"/>
      <c r="I375" s="39"/>
      <c r="J375" s="39"/>
      <c r="K375" s="39"/>
      <c r="L375" s="43" t="s">
        <v>304</v>
      </c>
      <c r="M375" s="39"/>
      <c r="N375" s="39"/>
      <c r="O375" s="39"/>
      <c r="P375" s="39"/>
      <c r="Q375" s="39"/>
      <c r="R375" s="38">
        <v>2006</v>
      </c>
      <c r="S375" s="38">
        <v>2007</v>
      </c>
      <c r="T375" s="38">
        <v>2008</v>
      </c>
      <c r="U375" s="38">
        <v>2009</v>
      </c>
      <c r="V375" s="38">
        <v>2010</v>
      </c>
      <c r="W375" s="38"/>
      <c r="X375" s="48"/>
    </row>
    <row r="376" spans="1:24" collapsed="1" x14ac:dyDescent="0.2">
      <c r="A376" s="5" t="s">
        <v>88</v>
      </c>
      <c r="B376" s="5" t="s">
        <v>141</v>
      </c>
      <c r="C376" s="5">
        <f>365</f>
        <v>365</v>
      </c>
      <c r="D376" s="2">
        <v>495</v>
      </c>
      <c r="E376" s="5" t="s">
        <v>169</v>
      </c>
      <c r="F376" s="6"/>
      <c r="G376" s="7">
        <v>357</v>
      </c>
      <c r="H376" s="7">
        <v>333</v>
      </c>
      <c r="I376" s="39">
        <v>346</v>
      </c>
      <c r="J376" s="39">
        <v>384</v>
      </c>
      <c r="K376" s="39">
        <v>358</v>
      </c>
      <c r="L376" s="39" t="s">
        <v>305</v>
      </c>
      <c r="M376" s="39">
        <v>329</v>
      </c>
      <c r="N376" s="39">
        <v>321</v>
      </c>
      <c r="O376" s="39">
        <v>331</v>
      </c>
      <c r="P376" s="39">
        <v>325</v>
      </c>
      <c r="Q376" s="39">
        <v>344</v>
      </c>
      <c r="R376" s="39">
        <v>471</v>
      </c>
      <c r="S376" s="39">
        <v>341</v>
      </c>
      <c r="T376" s="39">
        <v>345</v>
      </c>
      <c r="U376" s="39">
        <v>277</v>
      </c>
      <c r="V376" s="39">
        <v>272</v>
      </c>
      <c r="W376" s="39">
        <v>279</v>
      </c>
      <c r="X376" s="39">
        <v>319</v>
      </c>
    </row>
    <row r="377" spans="1:24" x14ac:dyDescent="0.2">
      <c r="A377" s="5" t="s">
        <v>108</v>
      </c>
      <c r="B377" s="5" t="s">
        <v>142</v>
      </c>
      <c r="C377" s="7">
        <f>1818</f>
        <v>1818</v>
      </c>
      <c r="D377" s="1">
        <v>2437</v>
      </c>
      <c r="E377" s="5" t="s">
        <v>173</v>
      </c>
      <c r="F377" s="6"/>
      <c r="G377" s="7">
        <v>2370</v>
      </c>
      <c r="H377" s="7">
        <v>2165</v>
      </c>
      <c r="I377" s="39">
        <v>1989</v>
      </c>
      <c r="J377" s="39">
        <v>2253</v>
      </c>
      <c r="K377" s="39">
        <v>1881</v>
      </c>
      <c r="L377" s="43" t="s">
        <v>354</v>
      </c>
      <c r="M377" s="39">
        <v>1742</v>
      </c>
      <c r="N377" s="39">
        <v>1680</v>
      </c>
      <c r="O377" s="39">
        <v>1654</v>
      </c>
      <c r="P377" s="39">
        <v>1415</v>
      </c>
      <c r="Q377" s="39">
        <v>1544</v>
      </c>
      <c r="R377" s="39">
        <v>1577</v>
      </c>
      <c r="S377" s="39">
        <v>1857</v>
      </c>
      <c r="T377" s="39">
        <v>1385</v>
      </c>
      <c r="U377" s="39">
        <v>1255</v>
      </c>
      <c r="V377" s="39">
        <v>1544</v>
      </c>
      <c r="W377" s="39">
        <v>1509</v>
      </c>
      <c r="X377" s="39">
        <v>1568</v>
      </c>
    </row>
    <row r="378" spans="1:24" x14ac:dyDescent="0.2">
      <c r="A378" s="5"/>
      <c r="B378" s="5"/>
      <c r="C378" s="5"/>
      <c r="D378" s="2"/>
      <c r="E378" s="5" t="s">
        <v>175</v>
      </c>
      <c r="F378" s="6"/>
      <c r="G378" s="7"/>
      <c r="I378" s="39"/>
      <c r="J378" s="39"/>
      <c r="K378" s="39"/>
      <c r="L378" s="43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</row>
    <row r="379" spans="1:24" x14ac:dyDescent="0.2">
      <c r="A379" s="5" t="s">
        <v>143</v>
      </c>
      <c r="B379" s="5" t="s">
        <v>144</v>
      </c>
      <c r="C379" s="5"/>
      <c r="D379" s="2"/>
      <c r="E379" s="5" t="s">
        <v>176</v>
      </c>
      <c r="F379" s="98"/>
      <c r="G379" s="7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</row>
    <row r="380" spans="1:24" x14ac:dyDescent="0.2">
      <c r="A380" s="5"/>
      <c r="B380" s="5" t="s">
        <v>57</v>
      </c>
      <c r="C380" s="5">
        <f>7.5</f>
        <v>7.5</v>
      </c>
      <c r="D380" s="2">
        <v>8.8000000000000007</v>
      </c>
      <c r="E380" s="5" t="s">
        <v>177</v>
      </c>
      <c r="F380" s="6"/>
      <c r="G380" s="24">
        <v>7.7</v>
      </c>
      <c r="H380" s="24">
        <v>6.5</v>
      </c>
      <c r="I380" s="40">
        <v>6.8</v>
      </c>
      <c r="J380" s="40">
        <v>5.4</v>
      </c>
      <c r="K380" s="40">
        <v>5.9</v>
      </c>
      <c r="L380" s="40"/>
      <c r="M380" s="40">
        <v>5.2</v>
      </c>
      <c r="N380" s="40">
        <v>5</v>
      </c>
      <c r="O380" s="40">
        <v>6.2</v>
      </c>
      <c r="P380" s="40">
        <v>5.7</v>
      </c>
      <c r="Q380" s="40">
        <v>6</v>
      </c>
      <c r="R380" s="40">
        <v>7.5</v>
      </c>
      <c r="S380" s="40">
        <v>7</v>
      </c>
      <c r="T380" s="40">
        <v>8.4</v>
      </c>
      <c r="U380" s="40">
        <v>6.4</v>
      </c>
      <c r="V380" s="40">
        <v>6.4</v>
      </c>
      <c r="W380" s="40">
        <v>6.3</v>
      </c>
      <c r="X380" s="40">
        <v>6.2</v>
      </c>
    </row>
    <row r="381" spans="1:24" x14ac:dyDescent="0.2">
      <c r="A381" s="5"/>
      <c r="B381" s="5"/>
      <c r="C381" s="5"/>
      <c r="D381" s="2"/>
      <c r="E381" s="5"/>
      <c r="F381" s="6"/>
      <c r="G381" s="7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</row>
    <row r="382" spans="1:24" x14ac:dyDescent="0.2">
      <c r="A382" s="6" t="s">
        <v>337</v>
      </c>
      <c r="B382" s="6" t="s">
        <v>516</v>
      </c>
      <c r="C382" s="5"/>
      <c r="D382" s="2"/>
      <c r="E382" s="5"/>
      <c r="F382" s="6"/>
      <c r="G382" s="7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</row>
    <row r="383" spans="1:24" x14ac:dyDescent="0.2">
      <c r="A383" s="5" t="s">
        <v>4</v>
      </c>
      <c r="B383" s="5" t="s">
        <v>61</v>
      </c>
      <c r="C383" s="7">
        <f>2413</f>
        <v>2413</v>
      </c>
      <c r="D383" s="1">
        <v>2111</v>
      </c>
      <c r="E383" s="7">
        <v>1991</v>
      </c>
      <c r="F383" s="29" t="s">
        <v>7</v>
      </c>
      <c r="G383" s="7">
        <v>2118</v>
      </c>
      <c r="H383" s="7">
        <v>2154</v>
      </c>
      <c r="I383" s="39">
        <v>2108</v>
      </c>
      <c r="J383" s="39">
        <v>2197</v>
      </c>
      <c r="K383" s="39">
        <v>2245</v>
      </c>
      <c r="L383" s="39"/>
      <c r="M383" s="39">
        <v>1903</v>
      </c>
      <c r="N383" s="39">
        <v>2019</v>
      </c>
      <c r="O383" s="39">
        <v>2041</v>
      </c>
      <c r="P383" s="39">
        <v>2059</v>
      </c>
      <c r="Q383" s="39">
        <v>2108</v>
      </c>
      <c r="R383" s="39">
        <v>2042</v>
      </c>
      <c r="S383" s="39">
        <v>1702</v>
      </c>
      <c r="T383" s="39">
        <v>1747</v>
      </c>
      <c r="U383" s="39">
        <v>1510</v>
      </c>
      <c r="V383" s="39">
        <v>1600</v>
      </c>
      <c r="W383" s="39">
        <v>1797</v>
      </c>
      <c r="X383" s="39">
        <v>1599</v>
      </c>
    </row>
    <row r="384" spans="1:24" x14ac:dyDescent="0.2">
      <c r="A384" s="5" t="s">
        <v>59</v>
      </c>
      <c r="B384" s="5" t="s">
        <v>9</v>
      </c>
      <c r="C384" s="7">
        <f>2360</f>
        <v>2360</v>
      </c>
      <c r="D384" s="1">
        <v>2046</v>
      </c>
      <c r="E384" s="7">
        <v>2058</v>
      </c>
      <c r="F384" s="29" t="s">
        <v>7</v>
      </c>
      <c r="G384" s="7">
        <v>2073</v>
      </c>
      <c r="H384" s="7">
        <v>2097</v>
      </c>
      <c r="I384" s="39">
        <v>2190</v>
      </c>
      <c r="J384" s="39">
        <v>2192</v>
      </c>
      <c r="K384" s="39">
        <v>2286</v>
      </c>
      <c r="L384" s="39"/>
      <c r="M384" s="39">
        <v>1758</v>
      </c>
      <c r="N384" s="39">
        <v>2024</v>
      </c>
      <c r="O384" s="39">
        <v>1990</v>
      </c>
      <c r="P384" s="39">
        <v>2080</v>
      </c>
      <c r="Q384" s="39">
        <v>2194</v>
      </c>
      <c r="R384" s="39">
        <v>2070</v>
      </c>
      <c r="S384" s="39">
        <v>1786</v>
      </c>
      <c r="T384" s="39">
        <v>1720</v>
      </c>
      <c r="U384" s="39">
        <v>1581</v>
      </c>
      <c r="V384" s="39">
        <v>1518</v>
      </c>
      <c r="W384" s="39">
        <v>1684</v>
      </c>
      <c r="X384" s="39">
        <v>1711</v>
      </c>
    </row>
    <row r="385" spans="1:24" x14ac:dyDescent="0.2">
      <c r="A385" s="5" t="s">
        <v>80</v>
      </c>
      <c r="B385" s="5" t="s">
        <v>64</v>
      </c>
      <c r="C385" s="7">
        <f>881</f>
        <v>881</v>
      </c>
      <c r="D385" s="2">
        <v>771</v>
      </c>
      <c r="E385" s="7">
        <v>704</v>
      </c>
      <c r="F385" s="29" t="s">
        <v>7</v>
      </c>
      <c r="G385" s="7">
        <v>738</v>
      </c>
      <c r="H385" s="7">
        <v>796</v>
      </c>
      <c r="I385" s="39">
        <v>734</v>
      </c>
      <c r="J385" s="39">
        <v>729</v>
      </c>
      <c r="K385" s="39">
        <v>689</v>
      </c>
      <c r="L385" s="39"/>
      <c r="M385" s="39">
        <v>669</v>
      </c>
      <c r="N385" s="39">
        <v>663</v>
      </c>
      <c r="O385" s="39">
        <v>704</v>
      </c>
      <c r="P385" s="39">
        <v>685</v>
      </c>
      <c r="Q385" s="39">
        <v>614</v>
      </c>
      <c r="R385" s="39">
        <v>589</v>
      </c>
      <c r="S385" s="39">
        <v>508</v>
      </c>
      <c r="T385" s="39">
        <v>532</v>
      </c>
      <c r="U385" s="39">
        <v>461</v>
      </c>
      <c r="V385" s="39">
        <v>545</v>
      </c>
      <c r="W385" s="39">
        <v>660</v>
      </c>
      <c r="X385" s="39">
        <v>548</v>
      </c>
    </row>
    <row r="386" spans="1:24" x14ac:dyDescent="0.2">
      <c r="A386" s="5" t="s">
        <v>82</v>
      </c>
      <c r="B386" s="5" t="s">
        <v>456</v>
      </c>
      <c r="C386" s="5"/>
      <c r="D386" s="2"/>
      <c r="E386" s="5"/>
      <c r="F386" s="6"/>
      <c r="G386" s="7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</row>
    <row r="387" spans="1:24" x14ac:dyDescent="0.2">
      <c r="A387" s="5" t="s">
        <v>84</v>
      </c>
      <c r="B387" s="5" t="s">
        <v>489</v>
      </c>
      <c r="C387" s="7">
        <f>2338</f>
        <v>2338</v>
      </c>
      <c r="D387" s="1">
        <v>2025</v>
      </c>
      <c r="E387" s="5" t="s">
        <v>16</v>
      </c>
      <c r="F387" s="6"/>
      <c r="G387" s="10">
        <v>1972</v>
      </c>
      <c r="H387" s="10">
        <v>2052</v>
      </c>
      <c r="I387" s="44">
        <v>2150</v>
      </c>
      <c r="J387" s="44">
        <v>2051</v>
      </c>
      <c r="K387" s="44">
        <v>2111</v>
      </c>
      <c r="L387" s="44"/>
      <c r="M387" s="44">
        <v>1687</v>
      </c>
      <c r="N387" s="44">
        <v>1968</v>
      </c>
      <c r="O387" s="44">
        <v>1956</v>
      </c>
      <c r="P387" s="44">
        <v>2039</v>
      </c>
      <c r="Q387" s="44">
        <v>2157</v>
      </c>
      <c r="R387" s="44">
        <v>2037</v>
      </c>
      <c r="S387" s="44">
        <v>1753</v>
      </c>
      <c r="T387" s="44">
        <v>1704</v>
      </c>
      <c r="U387" s="44">
        <v>1562</v>
      </c>
      <c r="V387" s="44">
        <v>1512</v>
      </c>
      <c r="W387" s="44">
        <v>1675</v>
      </c>
      <c r="X387" s="44">
        <v>1698</v>
      </c>
    </row>
    <row r="388" spans="1:24" x14ac:dyDescent="0.2">
      <c r="A388" s="32" t="s">
        <v>85</v>
      </c>
      <c r="B388" s="5" t="s">
        <v>490</v>
      </c>
      <c r="C388" s="5"/>
      <c r="D388" s="2"/>
      <c r="E388" s="5" t="s">
        <v>19</v>
      </c>
      <c r="F388" s="6"/>
      <c r="G388" s="7">
        <v>71</v>
      </c>
      <c r="H388" s="10">
        <v>7</v>
      </c>
      <c r="I388" s="44">
        <v>13</v>
      </c>
      <c r="J388" s="44">
        <v>10</v>
      </c>
      <c r="K388" s="44">
        <v>3</v>
      </c>
      <c r="L388" s="44"/>
      <c r="M388" s="44">
        <v>9</v>
      </c>
      <c r="N388" s="44">
        <v>30</v>
      </c>
      <c r="O388" s="44">
        <v>5</v>
      </c>
      <c r="P388" s="44">
        <v>16</v>
      </c>
      <c r="Q388" s="44">
        <v>7</v>
      </c>
      <c r="R388" s="44">
        <v>5</v>
      </c>
      <c r="S388" s="44">
        <v>0</v>
      </c>
      <c r="T388" s="44">
        <v>3</v>
      </c>
      <c r="U388" s="44">
        <v>6</v>
      </c>
      <c r="V388" s="44">
        <v>1</v>
      </c>
      <c r="W388" s="44">
        <v>2</v>
      </c>
      <c r="X388" s="44">
        <v>3</v>
      </c>
    </row>
    <row r="389" spans="1:24" ht="12.75" customHeight="1" x14ac:dyDescent="0.2">
      <c r="A389" s="32" t="s">
        <v>86</v>
      </c>
      <c r="B389" s="5" t="s">
        <v>491</v>
      </c>
      <c r="C389" s="7">
        <f>7</f>
        <v>7</v>
      </c>
      <c r="D389" s="2">
        <v>3</v>
      </c>
      <c r="E389" s="5" t="s">
        <v>22</v>
      </c>
      <c r="F389" s="6"/>
      <c r="G389" s="10">
        <v>0</v>
      </c>
      <c r="H389" s="10">
        <v>6</v>
      </c>
      <c r="I389" s="44">
        <v>3</v>
      </c>
      <c r="J389" s="44">
        <v>1</v>
      </c>
      <c r="K389" s="44">
        <v>4</v>
      </c>
      <c r="L389" s="44"/>
      <c r="M389" s="44">
        <v>2</v>
      </c>
      <c r="N389" s="44">
        <v>4</v>
      </c>
      <c r="O389" s="44">
        <v>2</v>
      </c>
      <c r="P389" s="44">
        <v>0</v>
      </c>
      <c r="Q389" s="44">
        <v>3</v>
      </c>
      <c r="R389" s="44">
        <v>0</v>
      </c>
      <c r="S389" s="44">
        <v>0</v>
      </c>
      <c r="T389" s="44">
        <v>0</v>
      </c>
      <c r="U389" s="44">
        <v>2</v>
      </c>
      <c r="V389" s="44">
        <v>0</v>
      </c>
      <c r="W389" s="44">
        <v>0</v>
      </c>
      <c r="X389" s="44">
        <v>0</v>
      </c>
    </row>
    <row r="390" spans="1:24" x14ac:dyDescent="0.2">
      <c r="A390" s="32" t="s">
        <v>87</v>
      </c>
      <c r="B390" s="5" t="s">
        <v>492</v>
      </c>
      <c r="C390" s="7">
        <f>5</f>
        <v>5</v>
      </c>
      <c r="D390" s="2">
        <v>2</v>
      </c>
      <c r="E390" s="5" t="s">
        <v>25</v>
      </c>
      <c r="F390" s="6"/>
      <c r="G390" s="10">
        <v>4</v>
      </c>
      <c r="H390" s="7">
        <v>7</v>
      </c>
      <c r="I390" s="39">
        <v>7</v>
      </c>
      <c r="J390" s="39">
        <v>4</v>
      </c>
      <c r="K390" s="39">
        <v>11</v>
      </c>
      <c r="L390" s="39"/>
      <c r="M390" s="39">
        <v>4</v>
      </c>
      <c r="N390" s="39">
        <v>0</v>
      </c>
      <c r="O390" s="39">
        <v>8</v>
      </c>
      <c r="P390" s="39">
        <v>6</v>
      </c>
      <c r="Q390" s="39">
        <v>15</v>
      </c>
      <c r="R390" s="39">
        <v>9</v>
      </c>
      <c r="S390" s="39">
        <v>6</v>
      </c>
      <c r="T390" s="39">
        <v>6</v>
      </c>
      <c r="U390" s="39">
        <v>4</v>
      </c>
      <c r="V390" s="39">
        <f>0+1</f>
        <v>1</v>
      </c>
      <c r="W390" s="39">
        <f>0+4</f>
        <v>4</v>
      </c>
      <c r="X390" s="39">
        <f>0+0</f>
        <v>0</v>
      </c>
    </row>
    <row r="391" spans="1:24" x14ac:dyDescent="0.2">
      <c r="A391" s="32" t="s">
        <v>133</v>
      </c>
      <c r="B391" s="5" t="s">
        <v>493</v>
      </c>
      <c r="C391" s="7">
        <f>10</f>
        <v>10</v>
      </c>
      <c r="D391" s="1">
        <v>16</v>
      </c>
      <c r="E391" s="5" t="s">
        <v>162</v>
      </c>
      <c r="F391" s="6"/>
      <c r="G391" s="7">
        <v>26</v>
      </c>
      <c r="H391" s="7">
        <v>25</v>
      </c>
      <c r="I391" s="39">
        <v>17</v>
      </c>
      <c r="J391" s="39">
        <v>126</v>
      </c>
      <c r="K391" s="39">
        <v>157</v>
      </c>
      <c r="L391" s="39"/>
      <c r="M391" s="39">
        <v>56</v>
      </c>
      <c r="N391" s="39">
        <v>22</v>
      </c>
      <c r="O391" s="39">
        <v>19</v>
      </c>
      <c r="P391" s="39">
        <v>19</v>
      </c>
      <c r="Q391" s="39">
        <v>12</v>
      </c>
      <c r="R391" s="39">
        <v>19</v>
      </c>
      <c r="S391" s="39">
        <v>27</v>
      </c>
      <c r="T391" s="39">
        <v>7</v>
      </c>
      <c r="U391" s="39">
        <v>7</v>
      </c>
      <c r="V391" s="39">
        <v>4</v>
      </c>
      <c r="W391" s="39">
        <v>3</v>
      </c>
      <c r="X391" s="39">
        <v>10</v>
      </c>
    </row>
    <row r="392" spans="1:24" x14ac:dyDescent="0.2">
      <c r="A392" s="32"/>
      <c r="B392" s="5"/>
      <c r="C392" s="7"/>
      <c r="D392" s="1"/>
      <c r="E392" s="5"/>
      <c r="F392" s="6"/>
      <c r="G392" s="7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</row>
    <row r="393" spans="1:24" x14ac:dyDescent="0.2">
      <c r="A393" s="32"/>
      <c r="B393" s="5"/>
      <c r="C393" s="5"/>
      <c r="D393" s="2"/>
      <c r="E393" s="5" t="s">
        <v>164</v>
      </c>
      <c r="F393" s="6"/>
      <c r="G393" s="7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8">
        <v>2007</v>
      </c>
      <c r="T393" s="38">
        <v>2008</v>
      </c>
      <c r="U393" s="38">
        <v>2009</v>
      </c>
      <c r="V393" s="38">
        <v>2010</v>
      </c>
      <c r="W393" s="38">
        <v>2011</v>
      </c>
      <c r="X393" s="38">
        <v>2012</v>
      </c>
    </row>
    <row r="394" spans="1:24" x14ac:dyDescent="0.2">
      <c r="A394" s="5" t="s">
        <v>88</v>
      </c>
      <c r="B394" s="5" t="s">
        <v>141</v>
      </c>
      <c r="C394" s="7">
        <f>2002</f>
        <v>2002</v>
      </c>
      <c r="D394" s="1">
        <v>1699</v>
      </c>
      <c r="E394" s="5" t="s">
        <v>166</v>
      </c>
      <c r="F394" s="6"/>
      <c r="G394" s="7">
        <v>1709</v>
      </c>
      <c r="H394" s="7">
        <v>1705</v>
      </c>
      <c r="I394" s="39">
        <v>1735</v>
      </c>
      <c r="J394" s="39">
        <v>1751</v>
      </c>
      <c r="K394" s="39">
        <v>1799</v>
      </c>
      <c r="L394" s="39"/>
      <c r="M394" s="39">
        <v>1408</v>
      </c>
      <c r="N394" s="39">
        <v>1549</v>
      </c>
      <c r="O394" s="39">
        <v>1590</v>
      </c>
      <c r="P394" s="39">
        <v>1669</v>
      </c>
      <c r="Q394" s="39">
        <v>1775</v>
      </c>
      <c r="R394" s="39">
        <v>2149</v>
      </c>
      <c r="S394" s="39">
        <v>1850</v>
      </c>
      <c r="T394" s="39">
        <v>1787</v>
      </c>
      <c r="U394" s="39">
        <v>1417</v>
      </c>
      <c r="V394" s="39">
        <v>1292</v>
      </c>
      <c r="W394" s="39">
        <v>1393</v>
      </c>
      <c r="X394" s="39">
        <v>1400</v>
      </c>
    </row>
    <row r="395" spans="1:24" ht="13.5" customHeight="1" x14ac:dyDescent="0.2">
      <c r="A395" s="5" t="s">
        <v>108</v>
      </c>
      <c r="B395" s="5" t="s">
        <v>142</v>
      </c>
      <c r="C395" s="7">
        <f>2477</f>
        <v>2477</v>
      </c>
      <c r="D395" s="1">
        <v>2114</v>
      </c>
      <c r="E395" s="5" t="s">
        <v>169</v>
      </c>
      <c r="F395" s="6"/>
      <c r="G395" s="7">
        <v>2119</v>
      </c>
      <c r="H395" s="7">
        <v>2092</v>
      </c>
      <c r="I395" s="39">
        <v>2130</v>
      </c>
      <c r="J395" s="39">
        <v>2144</v>
      </c>
      <c r="K395" s="39">
        <v>2153</v>
      </c>
      <c r="L395" s="39"/>
      <c r="M395" s="39">
        <v>1776</v>
      </c>
      <c r="N395" s="39">
        <v>1853</v>
      </c>
      <c r="O395" s="39">
        <v>1886</v>
      </c>
      <c r="P395" s="39">
        <v>2102</v>
      </c>
      <c r="Q395" s="39">
        <v>2143</v>
      </c>
      <c r="R395" s="39">
        <v>2546</v>
      </c>
      <c r="S395" s="39">
        <v>2181</v>
      </c>
      <c r="T395" s="39">
        <v>2057</v>
      </c>
      <c r="U395" s="39">
        <v>1626</v>
      </c>
      <c r="V395" s="39">
        <v>1606</v>
      </c>
      <c r="W395" s="39">
        <v>1762</v>
      </c>
      <c r="X395" s="39">
        <v>1797</v>
      </c>
    </row>
    <row r="396" spans="1:24" ht="9.75" customHeight="1" x14ac:dyDescent="0.2">
      <c r="A396" s="5"/>
      <c r="B396" s="5"/>
      <c r="C396" s="5"/>
      <c r="D396" s="2"/>
      <c r="E396" s="5" t="s">
        <v>171</v>
      </c>
      <c r="F396" s="6"/>
      <c r="G396" s="7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</row>
    <row r="397" spans="1:24" x14ac:dyDescent="0.2">
      <c r="A397" s="5" t="s">
        <v>143</v>
      </c>
      <c r="B397" s="5" t="s">
        <v>144</v>
      </c>
      <c r="C397" s="5"/>
      <c r="D397" s="2"/>
      <c r="E397" s="5" t="s">
        <v>173</v>
      </c>
      <c r="F397" s="6"/>
      <c r="G397" s="7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</row>
    <row r="398" spans="1:24" x14ac:dyDescent="0.2">
      <c r="A398" s="5"/>
      <c r="B398" s="5" t="s">
        <v>57</v>
      </c>
      <c r="C398" s="22">
        <f>4</f>
        <v>4</v>
      </c>
      <c r="D398" s="2">
        <v>3.9</v>
      </c>
      <c r="E398" s="5" t="s">
        <v>175</v>
      </c>
      <c r="F398" s="6"/>
      <c r="G398" s="24">
        <v>3.9</v>
      </c>
      <c r="H398" s="24">
        <v>3.8</v>
      </c>
      <c r="I398" s="40">
        <v>3.8</v>
      </c>
      <c r="J398" s="40">
        <v>3.7</v>
      </c>
      <c r="K398" s="40">
        <v>3.6</v>
      </c>
      <c r="L398" s="40"/>
      <c r="M398" s="40">
        <v>3.4</v>
      </c>
      <c r="N398" s="40">
        <v>4</v>
      </c>
      <c r="O398" s="40">
        <v>4.5</v>
      </c>
      <c r="P398" s="40">
        <v>4.2</v>
      </c>
      <c r="Q398" s="40">
        <v>3.6</v>
      </c>
      <c r="R398" s="40">
        <v>3.6</v>
      </c>
      <c r="S398" s="40">
        <v>3.8</v>
      </c>
      <c r="T398" s="40">
        <v>3.5</v>
      </c>
      <c r="U398" s="40">
        <v>3.7</v>
      </c>
      <c r="V398" s="40">
        <v>3.4</v>
      </c>
      <c r="W398" s="40">
        <v>3.9</v>
      </c>
      <c r="X398" s="40">
        <v>4</v>
      </c>
    </row>
    <row r="399" spans="1:24" x14ac:dyDescent="0.2">
      <c r="V399" s="7"/>
      <c r="W399" s="7"/>
      <c r="X399" s="7"/>
    </row>
    <row r="400" spans="1:24" x14ac:dyDescent="0.2">
      <c r="A400" s="6" t="s">
        <v>338</v>
      </c>
      <c r="B400" s="6" t="s">
        <v>514</v>
      </c>
      <c r="C400" s="7">
        <f>2423</f>
        <v>2423</v>
      </c>
      <c r="D400" s="1">
        <v>2176</v>
      </c>
      <c r="E400" s="10">
        <v>2212</v>
      </c>
      <c r="F400" s="29" t="s">
        <v>7</v>
      </c>
      <c r="G400" s="7">
        <v>2295</v>
      </c>
      <c r="H400" s="7">
        <v>2313</v>
      </c>
      <c r="I400" s="39">
        <v>2094</v>
      </c>
      <c r="J400" s="39">
        <v>2106</v>
      </c>
      <c r="K400" s="39">
        <v>2212</v>
      </c>
      <c r="L400" s="39"/>
      <c r="M400" s="39">
        <v>1974</v>
      </c>
      <c r="N400" s="39">
        <v>2165</v>
      </c>
      <c r="O400" s="39">
        <v>2179</v>
      </c>
      <c r="P400" s="39">
        <v>2085</v>
      </c>
      <c r="Q400" s="39">
        <v>2102</v>
      </c>
      <c r="R400" s="39">
        <v>2059</v>
      </c>
      <c r="S400" s="39">
        <v>1713</v>
      </c>
      <c r="T400" s="39">
        <v>1754</v>
      </c>
      <c r="U400" s="39">
        <f>160+22+145+274+1147</f>
        <v>1748</v>
      </c>
      <c r="V400" s="39">
        <f>146+33+152+236+1124</f>
        <v>1691</v>
      </c>
      <c r="W400" s="39">
        <f>128+28+134+210+1089</f>
        <v>1589</v>
      </c>
      <c r="X400" s="39">
        <f>117+48+121+115+1091</f>
        <v>1492</v>
      </c>
    </row>
    <row r="401" spans="1:24" x14ac:dyDescent="0.2">
      <c r="A401" s="5"/>
      <c r="B401" s="5"/>
      <c r="C401" s="7"/>
      <c r="D401" s="1"/>
      <c r="E401" s="10"/>
      <c r="F401" s="29"/>
      <c r="G401" s="7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</row>
    <row r="402" spans="1:24" x14ac:dyDescent="0.2">
      <c r="A402" s="5"/>
      <c r="B402" s="5"/>
      <c r="C402" s="7"/>
      <c r="D402" s="1"/>
      <c r="E402" s="10"/>
      <c r="F402" s="29"/>
      <c r="G402" s="7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</row>
    <row r="403" spans="1:24" hidden="1" outlineLevel="1" x14ac:dyDescent="0.2">
      <c r="A403" s="5"/>
      <c r="B403" s="5"/>
      <c r="C403" s="5"/>
      <c r="D403" s="63">
        <f>1993</f>
        <v>1993</v>
      </c>
      <c r="E403" s="63">
        <f>1994</f>
        <v>1994</v>
      </c>
      <c r="F403" s="63"/>
      <c r="G403" s="63">
        <v>1995</v>
      </c>
      <c r="H403" s="63">
        <v>1996</v>
      </c>
      <c r="I403" s="42">
        <v>1997</v>
      </c>
      <c r="J403" s="42">
        <v>1998</v>
      </c>
      <c r="K403" s="42">
        <v>1999</v>
      </c>
      <c r="L403" s="42">
        <v>2000</v>
      </c>
      <c r="M403" s="42">
        <v>2001</v>
      </c>
      <c r="N403" s="42">
        <v>2002</v>
      </c>
      <c r="O403" s="42">
        <v>2003</v>
      </c>
      <c r="P403" s="42">
        <v>2004</v>
      </c>
      <c r="Q403" s="42">
        <v>2005</v>
      </c>
      <c r="R403" s="38">
        <v>2006</v>
      </c>
      <c r="S403" s="38">
        <v>2007</v>
      </c>
      <c r="T403" s="38">
        <v>2008</v>
      </c>
      <c r="U403" s="38">
        <v>2009</v>
      </c>
    </row>
    <row r="404" spans="1:24" collapsed="1" x14ac:dyDescent="0.2">
      <c r="A404" s="5"/>
      <c r="B404" s="6" t="s">
        <v>186</v>
      </c>
      <c r="C404" s="5"/>
      <c r="D404" s="2"/>
      <c r="E404" s="92"/>
      <c r="F404" s="99"/>
      <c r="G404" s="7"/>
    </row>
    <row r="405" spans="1:24" x14ac:dyDescent="0.2">
      <c r="A405" s="5"/>
      <c r="B405" s="6"/>
      <c r="C405" s="5"/>
      <c r="D405" s="2"/>
      <c r="E405" s="92"/>
      <c r="F405" s="99"/>
      <c r="G405" s="7"/>
    </row>
    <row r="406" spans="1:24" x14ac:dyDescent="0.2">
      <c r="A406" s="6" t="s">
        <v>4</v>
      </c>
      <c r="B406" s="6" t="s">
        <v>422</v>
      </c>
      <c r="C406" s="5"/>
      <c r="D406" s="2"/>
      <c r="E406" s="7"/>
      <c r="F406" s="99"/>
      <c r="G406" s="7"/>
      <c r="Q406" s="50" t="s">
        <v>7</v>
      </c>
    </row>
    <row r="407" spans="1:24" x14ac:dyDescent="0.2">
      <c r="A407" s="5" t="s">
        <v>5</v>
      </c>
      <c r="B407" s="5" t="s">
        <v>61</v>
      </c>
      <c r="C407" s="7">
        <f>119372</f>
        <v>119372</v>
      </c>
      <c r="D407" s="1">
        <f>132351</f>
        <v>132351</v>
      </c>
      <c r="E407" s="7">
        <v>130117</v>
      </c>
      <c r="F407" s="99"/>
      <c r="G407" s="7">
        <v>129585</v>
      </c>
      <c r="H407" s="7">
        <v>135622</v>
      </c>
      <c r="I407" s="39">
        <v>138374</v>
      </c>
      <c r="J407" s="43" t="s">
        <v>277</v>
      </c>
      <c r="K407" s="39">
        <v>134111</v>
      </c>
      <c r="L407" s="39">
        <v>142199</v>
      </c>
      <c r="M407" s="39">
        <v>152744</v>
      </c>
      <c r="N407" s="39">
        <v>152849</v>
      </c>
      <c r="O407" s="39">
        <v>160953</v>
      </c>
      <c r="P407" s="39">
        <v>164689</v>
      </c>
      <c r="Q407" s="39">
        <f>180691-9568</f>
        <v>171123</v>
      </c>
      <c r="R407" s="39">
        <v>160449</v>
      </c>
      <c r="S407" s="39">
        <v>161626</v>
      </c>
      <c r="T407" s="39">
        <v>157391</v>
      </c>
      <c r="U407" s="39">
        <v>152348</v>
      </c>
      <c r="V407" s="39">
        <v>147933</v>
      </c>
      <c r="W407" s="39">
        <v>144665</v>
      </c>
      <c r="X407" s="39">
        <v>146770</v>
      </c>
    </row>
    <row r="408" spans="1:24" x14ac:dyDescent="0.2">
      <c r="A408" s="5" t="s">
        <v>8</v>
      </c>
      <c r="B408" s="5" t="s">
        <v>187</v>
      </c>
      <c r="C408" s="7">
        <f>116880</f>
        <v>116880</v>
      </c>
      <c r="D408" s="1">
        <f>134101</f>
        <v>134101</v>
      </c>
      <c r="E408" s="7">
        <v>126629</v>
      </c>
      <c r="F408" s="99"/>
      <c r="G408" s="7">
        <v>134020</v>
      </c>
      <c r="H408" s="7">
        <v>136033</v>
      </c>
      <c r="I408" s="39">
        <v>141867</v>
      </c>
      <c r="J408" s="43" t="s">
        <v>278</v>
      </c>
      <c r="K408" s="39">
        <v>137651</v>
      </c>
      <c r="L408" s="39">
        <v>133694</v>
      </c>
      <c r="M408" s="39">
        <v>158262</v>
      </c>
      <c r="N408" s="39">
        <v>153145</v>
      </c>
      <c r="O408" s="39">
        <v>164741</v>
      </c>
      <c r="P408" s="39">
        <v>166728</v>
      </c>
      <c r="Q408" s="39">
        <f>182350-9568</f>
        <v>172782</v>
      </c>
      <c r="R408" s="39">
        <v>162569</v>
      </c>
      <c r="S408" s="39">
        <v>161673</v>
      </c>
      <c r="T408" s="39">
        <v>158190</v>
      </c>
      <c r="U408" s="39">
        <v>151559</v>
      </c>
      <c r="V408" s="39">
        <v>147712</v>
      </c>
      <c r="W408" s="39">
        <v>143340</v>
      </c>
      <c r="X408" s="39">
        <v>146965</v>
      </c>
    </row>
    <row r="409" spans="1:24" x14ac:dyDescent="0.2">
      <c r="A409" s="5" t="s">
        <v>10</v>
      </c>
      <c r="B409" s="5" t="s">
        <v>64</v>
      </c>
      <c r="C409" s="7">
        <f>15645</f>
        <v>15645</v>
      </c>
      <c r="D409" s="1">
        <f>18149</f>
        <v>18149</v>
      </c>
      <c r="E409" s="7">
        <v>21613</v>
      </c>
      <c r="F409" s="99"/>
      <c r="G409" s="7">
        <v>16771</v>
      </c>
      <c r="H409" s="7">
        <v>16146</v>
      </c>
      <c r="I409" s="39">
        <v>15260</v>
      </c>
      <c r="J409" s="43" t="s">
        <v>279</v>
      </c>
      <c r="K409" s="39">
        <v>35023</v>
      </c>
      <c r="L409" s="39">
        <v>30756</v>
      </c>
      <c r="M409" s="39">
        <v>25125</v>
      </c>
      <c r="N409" s="39">
        <v>29159</v>
      </c>
      <c r="O409" s="39">
        <v>14185</v>
      </c>
      <c r="P409" s="39">
        <v>18560</v>
      </c>
      <c r="Q409" s="39">
        <f>P409+Q407-Q408</f>
        <v>16901</v>
      </c>
      <c r="R409" s="39">
        <v>17875</v>
      </c>
      <c r="S409" s="39">
        <v>16160</v>
      </c>
      <c r="T409" s="39">
        <v>15410</v>
      </c>
      <c r="U409" s="39">
        <v>16166</v>
      </c>
      <c r="V409" s="39">
        <v>16389</v>
      </c>
      <c r="W409" s="39">
        <v>17746</v>
      </c>
      <c r="X409" s="39">
        <v>17567</v>
      </c>
    </row>
    <row r="410" spans="1:24" x14ac:dyDescent="0.2">
      <c r="A410" s="5" t="s">
        <v>12</v>
      </c>
      <c r="B410" s="5" t="s">
        <v>464</v>
      </c>
      <c r="C410" s="5"/>
      <c r="D410" s="2"/>
      <c r="E410" s="7"/>
      <c r="F410" s="99"/>
      <c r="G410" s="7"/>
      <c r="I410" s="39"/>
      <c r="J410" s="43" t="s">
        <v>280</v>
      </c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</row>
    <row r="411" spans="1:24" x14ac:dyDescent="0.2">
      <c r="A411" s="5" t="s">
        <v>14</v>
      </c>
      <c r="B411" s="5" t="s">
        <v>423</v>
      </c>
      <c r="C411" s="7">
        <f>13368</f>
        <v>13368</v>
      </c>
      <c r="D411" s="1">
        <f>15406</f>
        <v>15406</v>
      </c>
      <c r="E411" s="7">
        <v>13353</v>
      </c>
      <c r="F411" s="99"/>
      <c r="G411" s="7">
        <v>14100</v>
      </c>
      <c r="H411" s="7">
        <v>15106</v>
      </c>
      <c r="I411" s="39">
        <v>16363</v>
      </c>
      <c r="J411" s="43" t="s">
        <v>281</v>
      </c>
      <c r="K411" s="39">
        <v>14713</v>
      </c>
      <c r="L411" s="39">
        <v>14064</v>
      </c>
      <c r="M411" s="39">
        <v>17841</v>
      </c>
      <c r="N411" s="39">
        <v>16049</v>
      </c>
      <c r="O411" s="39">
        <v>16998</v>
      </c>
      <c r="P411" s="39">
        <v>16852</v>
      </c>
      <c r="Q411" s="39">
        <v>19675</v>
      </c>
      <c r="R411" s="39">
        <v>17055</v>
      </c>
      <c r="S411" s="39">
        <v>16481</v>
      </c>
      <c r="T411" s="39">
        <v>15374</v>
      </c>
      <c r="U411" s="39">
        <v>16110</v>
      </c>
      <c r="V411" s="39">
        <v>15049</v>
      </c>
      <c r="W411" s="39">
        <v>14431</v>
      </c>
      <c r="X411" s="39">
        <v>14880</v>
      </c>
    </row>
    <row r="412" spans="1:24" x14ac:dyDescent="0.2">
      <c r="A412" s="5"/>
      <c r="B412" s="5" t="s">
        <v>424</v>
      </c>
      <c r="C412" s="5"/>
      <c r="D412" s="2"/>
      <c r="E412" s="7"/>
      <c r="F412" s="99"/>
      <c r="G412" s="7"/>
      <c r="I412" s="39"/>
      <c r="J412" s="43" t="s">
        <v>282</v>
      </c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</row>
    <row r="413" spans="1:24" x14ac:dyDescent="0.2">
      <c r="A413" s="32" t="s">
        <v>188</v>
      </c>
      <c r="B413" s="5" t="s">
        <v>426</v>
      </c>
      <c r="C413" s="7">
        <f>271</f>
        <v>271</v>
      </c>
      <c r="D413" s="1">
        <f>259</f>
        <v>259</v>
      </c>
      <c r="E413" s="7">
        <v>255</v>
      </c>
      <c r="F413" s="99"/>
      <c r="G413" s="7">
        <v>209</v>
      </c>
      <c r="H413" s="7">
        <v>236</v>
      </c>
      <c r="I413" s="39">
        <v>212</v>
      </c>
      <c r="J413" s="43" t="s">
        <v>283</v>
      </c>
      <c r="K413" s="39">
        <v>373</v>
      </c>
      <c r="L413" s="39">
        <f>36+476+17</f>
        <v>529</v>
      </c>
      <c r="M413" s="39">
        <f>35+410+22</f>
        <v>467</v>
      </c>
      <c r="N413" s="39">
        <f>38+256+17</f>
        <v>311</v>
      </c>
      <c r="O413" s="39">
        <f>40+281+12</f>
        <v>333</v>
      </c>
      <c r="P413" s="39">
        <f>32+248+19</f>
        <v>299</v>
      </c>
      <c r="Q413" s="39">
        <f>59+387+31</f>
        <v>477</v>
      </c>
      <c r="R413" s="39">
        <f>38+338+16</f>
        <v>392</v>
      </c>
      <c r="S413" s="39">
        <f>SUM(33+210+14)</f>
        <v>257</v>
      </c>
      <c r="T413" s="39">
        <v>249</v>
      </c>
      <c r="U413" s="39">
        <f>25+218+23</f>
        <v>266</v>
      </c>
      <c r="V413" s="39">
        <f>34+221+10</f>
        <v>265</v>
      </c>
      <c r="W413" s="39">
        <f>25+196+16</f>
        <v>237</v>
      </c>
      <c r="X413" s="39">
        <f>40+235+18</f>
        <v>293</v>
      </c>
    </row>
    <row r="414" spans="1:24" x14ac:dyDescent="0.2">
      <c r="A414" s="32" t="s">
        <v>189</v>
      </c>
      <c r="B414" s="5" t="s">
        <v>427</v>
      </c>
      <c r="C414" s="7">
        <f>932</f>
        <v>932</v>
      </c>
      <c r="D414" s="1">
        <f>950</f>
        <v>950</v>
      </c>
      <c r="E414" s="7">
        <v>661</v>
      </c>
      <c r="F414" s="99"/>
      <c r="G414" s="7">
        <v>630</v>
      </c>
      <c r="H414" s="7">
        <v>598</v>
      </c>
      <c r="I414" s="39">
        <v>638</v>
      </c>
      <c r="J414" s="43" t="s">
        <v>284</v>
      </c>
      <c r="K414" s="39">
        <v>1011</v>
      </c>
      <c r="L414" s="39">
        <f>584+397</f>
        <v>981</v>
      </c>
      <c r="M414" s="39">
        <f>785+807</f>
        <v>1592</v>
      </c>
      <c r="N414" s="39">
        <f>1576</f>
        <v>1576</v>
      </c>
      <c r="O414" s="39">
        <v>1675</v>
      </c>
      <c r="P414" s="39">
        <f>832+618</f>
        <v>1450</v>
      </c>
      <c r="Q414" s="39">
        <f>1132+739</f>
        <v>1871</v>
      </c>
      <c r="R414" s="39">
        <f>872+536</f>
        <v>1408</v>
      </c>
      <c r="S414" s="39">
        <f>SUM(715+470)</f>
        <v>1185</v>
      </c>
      <c r="T414" s="39">
        <v>1183</v>
      </c>
      <c r="U414" s="39">
        <f>660+508</f>
        <v>1168</v>
      </c>
      <c r="V414" s="39">
        <f>592+412</f>
        <v>1004</v>
      </c>
      <c r="W414" s="39">
        <f>609+392</f>
        <v>1001</v>
      </c>
      <c r="X414" s="39">
        <f>609+352</f>
        <v>961</v>
      </c>
    </row>
    <row r="415" spans="1:24" x14ac:dyDescent="0.2">
      <c r="A415" s="32" t="s">
        <v>190</v>
      </c>
      <c r="B415" s="5" t="s">
        <v>428</v>
      </c>
      <c r="C415" s="7">
        <f>12165</f>
        <v>12165</v>
      </c>
      <c r="D415" s="1">
        <f>14197</f>
        <v>14197</v>
      </c>
      <c r="E415" s="7">
        <v>12437</v>
      </c>
      <c r="F415" s="99"/>
      <c r="G415" s="7">
        <v>13261</v>
      </c>
      <c r="H415" s="7">
        <v>14272</v>
      </c>
      <c r="I415" s="39">
        <v>15513</v>
      </c>
      <c r="J415" s="43" t="s">
        <v>285</v>
      </c>
      <c r="K415" s="39">
        <v>13329</v>
      </c>
      <c r="L415" s="39">
        <f>9711+2843</f>
        <v>12554</v>
      </c>
      <c r="M415" s="39">
        <f>11923+3859</f>
        <v>15782</v>
      </c>
      <c r="N415" s="39">
        <f>14162</f>
        <v>14162</v>
      </c>
      <c r="O415" s="39">
        <v>14990</v>
      </c>
      <c r="P415" s="39">
        <f>12239+2864</f>
        <v>15103</v>
      </c>
      <c r="Q415" s="39">
        <f>13314+4013</f>
        <v>17327</v>
      </c>
      <c r="R415" s="39">
        <f>11744+3511</f>
        <v>15255</v>
      </c>
      <c r="S415" s="39">
        <f>SUM(11405+3634)</f>
        <v>15039</v>
      </c>
      <c r="T415" s="39">
        <v>13942</v>
      </c>
      <c r="U415" s="39">
        <f>10891+3785</f>
        <v>14676</v>
      </c>
      <c r="V415" s="39">
        <f>10361+3419</f>
        <v>13780</v>
      </c>
      <c r="W415" s="39">
        <f>9693+3500</f>
        <v>13193</v>
      </c>
      <c r="X415" s="39">
        <f>10066+3560</f>
        <v>13626</v>
      </c>
    </row>
    <row r="416" spans="1:24" x14ac:dyDescent="0.2">
      <c r="A416" s="32" t="s">
        <v>17</v>
      </c>
      <c r="B416" s="5" t="s">
        <v>465</v>
      </c>
      <c r="C416" s="7">
        <f>3</f>
        <v>3</v>
      </c>
      <c r="D416" s="1">
        <f>2</f>
        <v>2</v>
      </c>
      <c r="E416" s="7">
        <v>7</v>
      </c>
      <c r="F416" s="99"/>
      <c r="G416" s="7">
        <v>2</v>
      </c>
      <c r="H416" s="7">
        <v>2</v>
      </c>
      <c r="I416" s="39">
        <v>7</v>
      </c>
      <c r="J416" s="43" t="s">
        <v>292</v>
      </c>
      <c r="K416" s="39">
        <v>4</v>
      </c>
      <c r="L416" s="39">
        <v>6</v>
      </c>
      <c r="M416" s="39">
        <v>9</v>
      </c>
      <c r="N416" s="39">
        <v>14</v>
      </c>
      <c r="O416" s="39">
        <v>4</v>
      </c>
      <c r="P416" s="39">
        <v>4</v>
      </c>
      <c r="Q416" s="39">
        <v>24</v>
      </c>
      <c r="R416" s="39">
        <v>9</v>
      </c>
      <c r="S416" s="39">
        <v>9</v>
      </c>
      <c r="T416" s="39">
        <v>11</v>
      </c>
      <c r="U416" s="39">
        <v>14</v>
      </c>
      <c r="V416" s="39">
        <v>13</v>
      </c>
      <c r="W416" s="39">
        <v>19</v>
      </c>
      <c r="X416" s="39">
        <v>6</v>
      </c>
    </row>
    <row r="417" spans="1:24" x14ac:dyDescent="0.2">
      <c r="A417" s="32" t="s">
        <v>20</v>
      </c>
      <c r="B417" s="5" t="s">
        <v>466</v>
      </c>
      <c r="C417" s="7" t="s">
        <v>137</v>
      </c>
      <c r="D417" s="1">
        <v>0</v>
      </c>
      <c r="E417" s="7">
        <v>2</v>
      </c>
      <c r="F417" s="99"/>
      <c r="G417" s="7">
        <v>0</v>
      </c>
      <c r="H417" s="7">
        <v>0</v>
      </c>
      <c r="I417" s="39">
        <v>4</v>
      </c>
      <c r="J417" s="39" t="s">
        <v>293</v>
      </c>
      <c r="K417" s="39">
        <v>3</v>
      </c>
      <c r="L417" s="39">
        <v>0</v>
      </c>
      <c r="M417" s="39">
        <v>0</v>
      </c>
      <c r="N417" s="39">
        <v>0</v>
      </c>
      <c r="O417" s="39">
        <v>0</v>
      </c>
      <c r="P417" s="39">
        <v>0</v>
      </c>
      <c r="Q417" s="39">
        <v>0</v>
      </c>
      <c r="R417" s="39">
        <v>0</v>
      </c>
      <c r="S417" s="39">
        <v>0</v>
      </c>
      <c r="T417" s="39">
        <v>91</v>
      </c>
      <c r="U417" s="39">
        <v>52</v>
      </c>
      <c r="V417" s="39">
        <v>0</v>
      </c>
      <c r="W417" s="39">
        <v>0</v>
      </c>
      <c r="X417" s="39">
        <v>0</v>
      </c>
    </row>
    <row r="418" spans="1:24" x14ac:dyDescent="0.2">
      <c r="A418" s="32" t="s">
        <v>23</v>
      </c>
      <c r="B418" s="5" t="s">
        <v>467</v>
      </c>
      <c r="C418" s="7">
        <f>6845</f>
        <v>6845</v>
      </c>
      <c r="D418" s="1">
        <f>5319</f>
        <v>5319</v>
      </c>
      <c r="E418" s="7">
        <v>3933</v>
      </c>
      <c r="F418" s="99"/>
      <c r="G418" s="7">
        <v>3556</v>
      </c>
      <c r="H418" s="7">
        <v>3338</v>
      </c>
      <c r="I418" s="39">
        <v>3696</v>
      </c>
      <c r="J418" s="39"/>
      <c r="K418" s="39">
        <v>2493</v>
      </c>
      <c r="L418" s="39">
        <v>2486</v>
      </c>
      <c r="M418" s="39">
        <v>2730</v>
      </c>
      <c r="N418" s="39">
        <v>2441</v>
      </c>
      <c r="O418" s="39">
        <v>2483</v>
      </c>
      <c r="P418" s="39">
        <v>2074</v>
      </c>
      <c r="Q418" s="39">
        <v>2228</v>
      </c>
      <c r="R418" s="39">
        <v>1896</v>
      </c>
      <c r="S418" s="39">
        <v>1652</v>
      </c>
      <c r="T418" s="39">
        <v>1193</v>
      </c>
      <c r="U418" s="39">
        <v>932</v>
      </c>
      <c r="V418" s="39">
        <v>1007</v>
      </c>
      <c r="W418" s="39">
        <v>725</v>
      </c>
      <c r="X418" s="39">
        <v>474</v>
      </c>
    </row>
    <row r="419" spans="1:24" x14ac:dyDescent="0.2">
      <c r="A419" s="32" t="s">
        <v>26</v>
      </c>
      <c r="B419" s="5" t="s">
        <v>468</v>
      </c>
      <c r="C419" s="7">
        <f>516</f>
        <v>516</v>
      </c>
      <c r="D419" s="1">
        <f>889</f>
        <v>889</v>
      </c>
      <c r="E419" s="7">
        <v>615</v>
      </c>
      <c r="F419" s="99"/>
      <c r="G419" s="7">
        <v>912</v>
      </c>
      <c r="H419" s="7">
        <v>1054</v>
      </c>
      <c r="I419" s="39">
        <v>1028</v>
      </c>
      <c r="J419" s="39"/>
      <c r="K419" s="39">
        <v>658</v>
      </c>
      <c r="L419" s="39">
        <v>766</v>
      </c>
      <c r="M419" s="39">
        <v>1167</v>
      </c>
      <c r="N419" s="39">
        <v>912</v>
      </c>
      <c r="O419" s="39">
        <v>960</v>
      </c>
      <c r="P419" s="39">
        <v>832</v>
      </c>
      <c r="Q419" s="39">
        <v>990</v>
      </c>
      <c r="R419" s="39">
        <v>995</v>
      </c>
      <c r="S419" s="39">
        <v>800</v>
      </c>
      <c r="T419" s="39">
        <v>609</v>
      </c>
      <c r="U419" s="39">
        <v>407</v>
      </c>
      <c r="V419" s="39">
        <v>387</v>
      </c>
      <c r="W419" s="39">
        <v>202</v>
      </c>
      <c r="X419" s="39">
        <v>136</v>
      </c>
    </row>
    <row r="420" spans="1:24" x14ac:dyDescent="0.2">
      <c r="A420" s="32" t="s">
        <v>29</v>
      </c>
      <c r="B420" s="5" t="s">
        <v>469</v>
      </c>
      <c r="C420" s="7">
        <f>12383</f>
        <v>12383</v>
      </c>
      <c r="D420" s="1">
        <f>14273</f>
        <v>14273</v>
      </c>
      <c r="E420" s="7">
        <v>14735</v>
      </c>
      <c r="F420" s="99"/>
      <c r="G420" s="7">
        <v>14218</v>
      </c>
      <c r="H420" s="7">
        <v>13682</v>
      </c>
      <c r="I420" s="39">
        <v>13710</v>
      </c>
      <c r="J420" s="43" t="s">
        <v>286</v>
      </c>
      <c r="K420" s="39">
        <v>12501</v>
      </c>
      <c r="L420" s="39">
        <v>12675</v>
      </c>
      <c r="M420" s="39">
        <v>14009</v>
      </c>
      <c r="N420" s="39">
        <v>14407</v>
      </c>
      <c r="O420" s="39">
        <v>14710</v>
      </c>
      <c r="P420" s="39">
        <v>15223</v>
      </c>
      <c r="Q420" s="39">
        <v>14937</v>
      </c>
      <c r="R420" s="39">
        <v>13731</v>
      </c>
      <c r="S420" s="39">
        <v>14287</v>
      </c>
      <c r="T420" s="39">
        <v>14223</v>
      </c>
      <c r="U420" s="39">
        <v>13155</v>
      </c>
      <c r="V420" s="39">
        <v>12565</v>
      </c>
      <c r="W420" s="39">
        <v>12600</v>
      </c>
      <c r="X420" s="39">
        <v>12277</v>
      </c>
    </row>
    <row r="421" spans="1:24" x14ac:dyDescent="0.2">
      <c r="A421" s="32" t="s">
        <v>32</v>
      </c>
      <c r="B421" s="5" t="s">
        <v>470</v>
      </c>
      <c r="C421" s="7"/>
      <c r="D421" s="1"/>
      <c r="E421" s="7"/>
      <c r="F421" s="99"/>
      <c r="G421" s="7"/>
      <c r="I421" s="39"/>
      <c r="J421" s="43"/>
      <c r="K421" s="39"/>
      <c r="L421" s="39"/>
      <c r="M421" s="39"/>
      <c r="N421" s="39"/>
      <c r="O421" s="39"/>
      <c r="P421" s="39">
        <v>4911</v>
      </c>
      <c r="Q421" s="39">
        <v>6452</v>
      </c>
      <c r="R421" s="39">
        <v>6503</v>
      </c>
      <c r="S421" s="39">
        <v>7511</v>
      </c>
      <c r="T421" s="39">
        <v>6700</v>
      </c>
      <c r="U421" s="39">
        <f>6171+4+144</f>
        <v>6319</v>
      </c>
      <c r="V421" s="39">
        <f>6186+1+90</f>
        <v>6277</v>
      </c>
      <c r="W421" s="39">
        <f>5608+3+38</f>
        <v>5649</v>
      </c>
      <c r="X421" s="39">
        <f>6291+1+26</f>
        <v>6318</v>
      </c>
    </row>
    <row r="422" spans="1:24" x14ac:dyDescent="0.2">
      <c r="A422" s="32" t="s">
        <v>462</v>
      </c>
      <c r="B422" s="5" t="s">
        <v>463</v>
      </c>
      <c r="C422" s="7">
        <f>2188</f>
        <v>2188</v>
      </c>
      <c r="D422" s="1">
        <f>2984</f>
        <v>2984</v>
      </c>
      <c r="E422" s="7">
        <v>3248</v>
      </c>
      <c r="F422" s="99"/>
      <c r="G422" s="7">
        <v>3824</v>
      </c>
      <c r="H422" s="7">
        <v>3345</v>
      </c>
      <c r="I422" s="39">
        <v>3358</v>
      </c>
      <c r="J422" s="43" t="s">
        <v>289</v>
      </c>
      <c r="K422" s="39">
        <v>3819</v>
      </c>
      <c r="L422" s="39">
        <v>2953</v>
      </c>
      <c r="M422" s="39">
        <v>4011</v>
      </c>
      <c r="N422" s="39">
        <v>4064</v>
      </c>
      <c r="O422" s="39">
        <v>4832</v>
      </c>
      <c r="P422" s="39">
        <v>4712</v>
      </c>
      <c r="Q422" s="39">
        <v>6204</v>
      </c>
      <c r="R422" s="39">
        <v>6260</v>
      </c>
      <c r="S422" s="39">
        <v>7329</v>
      </c>
      <c r="T422" s="39">
        <v>6527</v>
      </c>
      <c r="U422" s="39">
        <v>6171</v>
      </c>
      <c r="V422" s="39">
        <v>6186</v>
      </c>
      <c r="W422" s="39">
        <v>5608</v>
      </c>
      <c r="X422" s="39">
        <v>6291</v>
      </c>
    </row>
    <row r="423" spans="1:24" x14ac:dyDescent="0.2">
      <c r="A423" s="32" t="s">
        <v>35</v>
      </c>
      <c r="B423" s="5" t="s">
        <v>425</v>
      </c>
      <c r="C423" s="7">
        <f>23426</f>
        <v>23426</v>
      </c>
      <c r="D423" s="1">
        <f>35470</f>
        <v>35470</v>
      </c>
      <c r="E423" s="7">
        <v>34579</v>
      </c>
      <c r="F423" s="99"/>
      <c r="G423" s="7">
        <v>36440</v>
      </c>
      <c r="H423" s="7">
        <v>36613</v>
      </c>
      <c r="I423" s="39">
        <v>39268</v>
      </c>
      <c r="J423" s="43" t="s">
        <v>290</v>
      </c>
      <c r="K423" s="39">
        <v>39418</v>
      </c>
      <c r="L423" s="39">
        <v>23598</v>
      </c>
      <c r="M423" s="39">
        <v>30198</v>
      </c>
      <c r="N423" s="39">
        <v>29131</v>
      </c>
      <c r="O423" s="39">
        <v>34540</v>
      </c>
      <c r="P423" s="39">
        <v>36480</v>
      </c>
      <c r="Q423" s="39">
        <v>45924</v>
      </c>
      <c r="R423" s="39">
        <v>36356</v>
      </c>
      <c r="S423" s="39">
        <v>46888</v>
      </c>
      <c r="T423" s="39">
        <v>44316</v>
      </c>
      <c r="U423" s="39">
        <f>4627+2862+17329+22+9+13117+112+2+209+232+2580</f>
        <v>41101</v>
      </c>
      <c r="V423" s="39">
        <f>4500+2466+16740+16+7+12001+115+1+223+254+2592</f>
        <v>38915</v>
      </c>
      <c r="W423" s="39">
        <f>3972+2323+15718+14+9+11414+57+1+164+178+6450+2663</f>
        <v>42963</v>
      </c>
      <c r="X423" s="39">
        <f>3425+3225+16000+14+3+12525+73+3+166+213+6731+2215</f>
        <v>44593</v>
      </c>
    </row>
    <row r="424" spans="1:24" hidden="1" x14ac:dyDescent="0.2">
      <c r="A424" s="32" t="s">
        <v>52</v>
      </c>
      <c r="B424" s="5" t="s">
        <v>191</v>
      </c>
      <c r="C424" s="7">
        <f>178</f>
        <v>178</v>
      </c>
      <c r="D424" s="1">
        <f>198</f>
        <v>198</v>
      </c>
      <c r="E424" s="7">
        <v>177</v>
      </c>
      <c r="F424" s="99"/>
      <c r="G424" s="7">
        <v>149</v>
      </c>
      <c r="H424" s="7">
        <v>148</v>
      </c>
      <c r="I424" s="39">
        <v>155</v>
      </c>
      <c r="J424" s="39" t="s">
        <v>287</v>
      </c>
      <c r="K424" s="39" t="s">
        <v>297</v>
      </c>
      <c r="L424" s="39" t="s">
        <v>297</v>
      </c>
      <c r="M424" s="39" t="s">
        <v>297</v>
      </c>
      <c r="N424" s="39" t="s">
        <v>297</v>
      </c>
      <c r="O424" s="39"/>
      <c r="P424" s="39"/>
      <c r="Q424" s="39"/>
      <c r="R424" s="39"/>
      <c r="S424" s="39"/>
      <c r="T424" s="39"/>
      <c r="U424" s="39"/>
      <c r="V424" s="39"/>
      <c r="W424" s="39"/>
      <c r="X424" s="39"/>
    </row>
    <row r="425" spans="1:24" x14ac:dyDescent="0.2">
      <c r="A425" s="32" t="s">
        <v>52</v>
      </c>
      <c r="B425" s="5" t="s">
        <v>461</v>
      </c>
      <c r="C425" s="7">
        <f>511</f>
        <v>511</v>
      </c>
      <c r="D425" s="1">
        <f>300</f>
        <v>300</v>
      </c>
      <c r="E425" s="7">
        <v>307</v>
      </c>
      <c r="F425" s="99"/>
      <c r="G425" s="7">
        <v>549</v>
      </c>
      <c r="H425" s="7">
        <v>602</v>
      </c>
      <c r="I425" s="39">
        <v>225</v>
      </c>
      <c r="J425" s="43" t="s">
        <v>288</v>
      </c>
      <c r="K425" s="39">
        <v>395</v>
      </c>
      <c r="L425" s="39">
        <v>273</v>
      </c>
      <c r="M425" s="39">
        <v>375</v>
      </c>
      <c r="N425" s="39">
        <v>387</v>
      </c>
      <c r="O425" s="39">
        <v>336</v>
      </c>
      <c r="P425" s="39">
        <v>500</v>
      </c>
      <c r="Q425" s="39">
        <v>423</v>
      </c>
      <c r="R425" s="39">
        <v>402</v>
      </c>
      <c r="S425" s="39">
        <v>329</v>
      </c>
      <c r="T425" s="39">
        <v>338</v>
      </c>
      <c r="U425" s="39">
        <v>385</v>
      </c>
      <c r="V425" s="39">
        <v>389</v>
      </c>
      <c r="W425" s="39">
        <v>422</v>
      </c>
      <c r="X425" s="39">
        <v>377</v>
      </c>
    </row>
    <row r="426" spans="1:24" x14ac:dyDescent="0.2">
      <c r="A426" s="32" t="s">
        <v>192</v>
      </c>
      <c r="B426" s="5" t="s">
        <v>429</v>
      </c>
      <c r="C426" s="7">
        <f>31385</f>
        <v>31385</v>
      </c>
      <c r="D426" s="1">
        <f>33361</f>
        <v>33361</v>
      </c>
      <c r="E426" s="7">
        <v>33178</v>
      </c>
      <c r="F426" s="99"/>
      <c r="G426" s="7">
        <v>35839</v>
      </c>
      <c r="H426" s="7">
        <v>38583</v>
      </c>
      <c r="I426" s="39">
        <v>38889</v>
      </c>
      <c r="J426" s="43" t="s">
        <v>291</v>
      </c>
      <c r="K426" s="39">
        <v>33924</v>
      </c>
      <c r="L426" s="39">
        <v>34200</v>
      </c>
      <c r="M426" s="39">
        <v>41631</v>
      </c>
      <c r="N426" s="39">
        <v>44410</v>
      </c>
      <c r="O426" s="39">
        <v>46029</v>
      </c>
      <c r="P426" s="39">
        <v>43268</v>
      </c>
      <c r="Q426" s="39">
        <v>46243</v>
      </c>
      <c r="R426" s="39">
        <v>44370</v>
      </c>
      <c r="S426" s="39">
        <v>44781</v>
      </c>
      <c r="T426" s="39">
        <v>45968</v>
      </c>
      <c r="U426" s="39">
        <v>43827</v>
      </c>
      <c r="V426" s="39">
        <v>43105</v>
      </c>
      <c r="W426" s="39">
        <v>42651</v>
      </c>
      <c r="X426" s="39">
        <v>43477</v>
      </c>
    </row>
    <row r="427" spans="1:24" x14ac:dyDescent="0.2">
      <c r="A427" s="32" t="s">
        <v>193</v>
      </c>
      <c r="B427" s="5" t="s">
        <v>430</v>
      </c>
      <c r="C427" s="7">
        <f>5302</f>
        <v>5302</v>
      </c>
      <c r="D427" s="1">
        <f>4766</f>
        <v>4766</v>
      </c>
      <c r="E427" s="7">
        <v>4515</v>
      </c>
      <c r="F427" s="99"/>
      <c r="G427" s="7">
        <v>5469</v>
      </c>
      <c r="H427" s="7">
        <v>5906</v>
      </c>
      <c r="I427" s="39">
        <v>6048</v>
      </c>
      <c r="J427" s="39"/>
      <c r="K427" s="39">
        <v>5321</v>
      </c>
      <c r="L427" s="39">
        <v>6045</v>
      </c>
      <c r="M427" s="39">
        <v>6414</v>
      </c>
      <c r="N427" s="39">
        <v>6413</v>
      </c>
      <c r="O427" s="39">
        <v>6308</v>
      </c>
      <c r="P427" s="39">
        <v>6452</v>
      </c>
      <c r="Q427" s="39">
        <v>6415</v>
      </c>
      <c r="R427" s="39">
        <v>6497</v>
      </c>
      <c r="S427" s="39">
        <v>6323</v>
      </c>
      <c r="T427" s="39">
        <v>6467</v>
      </c>
      <c r="U427" s="39">
        <v>6285</v>
      </c>
      <c r="V427" s="39">
        <v>6111</v>
      </c>
      <c r="W427" s="39">
        <v>6197</v>
      </c>
      <c r="X427" s="39">
        <v>6080</v>
      </c>
    </row>
    <row r="428" spans="1:24" x14ac:dyDescent="0.2">
      <c r="A428" s="32" t="s">
        <v>194</v>
      </c>
      <c r="B428" s="5" t="s">
        <v>431</v>
      </c>
      <c r="C428" s="7">
        <f>8763</f>
        <v>8763</v>
      </c>
      <c r="D428" s="1">
        <f>4360</f>
        <v>4360</v>
      </c>
      <c r="E428" s="7">
        <v>4120</v>
      </c>
      <c r="F428" s="99"/>
      <c r="G428" s="7">
        <v>4485</v>
      </c>
      <c r="H428" s="7">
        <v>4025</v>
      </c>
      <c r="I428" s="39">
        <v>4536</v>
      </c>
      <c r="J428" s="39"/>
      <c r="K428" s="39">
        <v>1897</v>
      </c>
      <c r="L428" s="39">
        <v>3059</v>
      </c>
      <c r="M428" s="39">
        <v>3467</v>
      </c>
      <c r="N428" s="39">
        <v>254</v>
      </c>
      <c r="O428" s="39">
        <v>77</v>
      </c>
      <c r="P428" s="39">
        <v>105</v>
      </c>
      <c r="Q428" s="39">
        <v>174</v>
      </c>
      <c r="R428" s="39">
        <v>195</v>
      </c>
      <c r="S428" s="39">
        <v>99</v>
      </c>
      <c r="T428" s="39">
        <v>62</v>
      </c>
      <c r="U428" s="39">
        <v>82</v>
      </c>
      <c r="V428" s="39">
        <v>82</v>
      </c>
      <c r="W428" s="39">
        <v>77</v>
      </c>
      <c r="X428" s="39">
        <v>76</v>
      </c>
    </row>
    <row r="429" spans="1:24" x14ac:dyDescent="0.2">
      <c r="A429" s="32" t="s">
        <v>195</v>
      </c>
      <c r="B429" s="5" t="s">
        <v>432</v>
      </c>
      <c r="C429" s="7">
        <f>3690</f>
        <v>3690</v>
      </c>
      <c r="D429" s="1">
        <f>2654</f>
        <v>2654</v>
      </c>
      <c r="E429" s="7">
        <v>2244</v>
      </c>
      <c r="F429" s="99"/>
      <c r="G429" s="7">
        <v>2561</v>
      </c>
      <c r="H429" s="7">
        <v>2833</v>
      </c>
      <c r="I429" s="39">
        <v>3073</v>
      </c>
      <c r="J429" s="39"/>
      <c r="K429" s="39">
        <v>3823</v>
      </c>
      <c r="L429" s="39">
        <v>3878</v>
      </c>
      <c r="M429" s="39">
        <v>4719</v>
      </c>
      <c r="N429" s="39">
        <v>4607</v>
      </c>
      <c r="O429" s="39">
        <v>4487</v>
      </c>
      <c r="P429" s="39">
        <v>4500</v>
      </c>
      <c r="Q429" s="39">
        <v>5134</v>
      </c>
      <c r="R429" s="39">
        <v>5013</v>
      </c>
      <c r="S429" s="39">
        <v>5880</v>
      </c>
      <c r="T429" s="39">
        <v>5331</v>
      </c>
      <c r="U429" s="39">
        <v>4787</v>
      </c>
      <c r="V429" s="39">
        <v>4569</v>
      </c>
      <c r="W429" s="39">
        <v>4737</v>
      </c>
      <c r="X429" s="39">
        <v>5296</v>
      </c>
    </row>
    <row r="430" spans="1:24" x14ac:dyDescent="0.2">
      <c r="A430" s="32" t="s">
        <v>196</v>
      </c>
      <c r="B430" s="5" t="s">
        <v>471</v>
      </c>
      <c r="C430" s="7"/>
      <c r="D430" s="1"/>
      <c r="E430" s="7"/>
      <c r="F430" s="99"/>
      <c r="G430" s="7"/>
      <c r="I430" s="39"/>
      <c r="J430" s="39"/>
      <c r="K430" s="39"/>
      <c r="L430" s="39"/>
      <c r="M430" s="39"/>
      <c r="N430" s="39"/>
      <c r="O430" s="39"/>
      <c r="P430" s="39">
        <v>18102</v>
      </c>
      <c r="Q430" s="39">
        <v>13391</v>
      </c>
      <c r="R430" s="39">
        <v>11999</v>
      </c>
      <c r="S430" s="39">
        <v>10461</v>
      </c>
      <c r="T430" s="39">
        <v>11411</v>
      </c>
      <c r="U430" s="39">
        <v>11775</v>
      </c>
      <c r="V430" s="39">
        <v>12393</v>
      </c>
      <c r="W430" s="39">
        <v>11570</v>
      </c>
      <c r="X430" s="39">
        <v>11877</v>
      </c>
    </row>
    <row r="431" spans="1:24" x14ac:dyDescent="0.2">
      <c r="A431" s="32" t="s">
        <v>197</v>
      </c>
      <c r="B431" s="5" t="s">
        <v>472</v>
      </c>
      <c r="C431" s="7">
        <f>5985</f>
        <v>5985</v>
      </c>
      <c r="D431" s="1">
        <f>10650</f>
        <v>10650</v>
      </c>
      <c r="E431" s="7">
        <v>9753</v>
      </c>
      <c r="F431" s="99"/>
      <c r="G431" s="7">
        <v>9247</v>
      </c>
      <c r="H431" s="7">
        <v>8270</v>
      </c>
      <c r="I431" s="39">
        <v>8291</v>
      </c>
      <c r="J431" s="39"/>
      <c r="K431" s="39">
        <v>4392</v>
      </c>
      <c r="L431" s="39">
        <v>4825</v>
      </c>
      <c r="M431" s="39">
        <v>5446</v>
      </c>
      <c r="N431" s="39">
        <v>5530</v>
      </c>
      <c r="O431" s="39">
        <v>6839</v>
      </c>
      <c r="P431" s="39">
        <v>6338</v>
      </c>
      <c r="Q431" s="39">
        <v>6707</v>
      </c>
      <c r="R431" s="39">
        <v>5907</v>
      </c>
      <c r="S431" s="39">
        <v>5817</v>
      </c>
      <c r="T431" s="39">
        <v>5707</v>
      </c>
      <c r="U431" s="39">
        <v>5937</v>
      </c>
      <c r="V431" s="39">
        <v>6466</v>
      </c>
      <c r="W431" s="39">
        <v>735</v>
      </c>
      <c r="X431" s="39">
        <v>743</v>
      </c>
    </row>
    <row r="432" spans="1:24" x14ac:dyDescent="0.2">
      <c r="A432" s="32" t="s">
        <v>473</v>
      </c>
      <c r="B432" s="5" t="s">
        <v>433</v>
      </c>
      <c r="C432" s="7">
        <f>2394</f>
        <v>2394</v>
      </c>
      <c r="D432" s="1">
        <f>3469</f>
        <v>3469</v>
      </c>
      <c r="E432" s="7">
        <v>1863</v>
      </c>
      <c r="F432" s="99"/>
      <c r="G432" s="7">
        <v>2669</v>
      </c>
      <c r="H432" s="7">
        <v>2526</v>
      </c>
      <c r="I432" s="39">
        <v>3216</v>
      </c>
      <c r="J432" s="39"/>
      <c r="K432" s="39">
        <v>514</v>
      </c>
      <c r="L432" s="39">
        <v>368</v>
      </c>
      <c r="M432" s="39">
        <v>365</v>
      </c>
      <c r="N432" s="39">
        <v>325</v>
      </c>
      <c r="O432" s="39">
        <v>353</v>
      </c>
      <c r="P432" s="39">
        <v>394</v>
      </c>
      <c r="Q432" s="39">
        <v>409</v>
      </c>
      <c r="R432" s="39">
        <v>493</v>
      </c>
      <c r="S432" s="39">
        <v>355</v>
      </c>
      <c r="T432" s="39">
        <v>389</v>
      </c>
      <c r="U432" s="39">
        <v>391</v>
      </c>
      <c r="V432" s="39">
        <v>384</v>
      </c>
      <c r="W432" s="39">
        <v>362</v>
      </c>
      <c r="X432" s="39">
        <v>355</v>
      </c>
    </row>
    <row r="433" spans="1:24" x14ac:dyDescent="0.2">
      <c r="A433" s="5"/>
      <c r="B433" s="5"/>
      <c r="C433" s="5"/>
      <c r="D433" s="2"/>
      <c r="E433" s="7"/>
      <c r="F433" s="99"/>
      <c r="G433" s="7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</row>
    <row r="434" spans="1:24" hidden="1" outlineLevel="1" x14ac:dyDescent="0.2">
      <c r="A434" s="5"/>
      <c r="B434" s="5"/>
      <c r="C434" s="5"/>
      <c r="D434" s="2"/>
      <c r="E434" s="7"/>
      <c r="F434" s="99"/>
      <c r="G434" s="7"/>
      <c r="I434" s="39"/>
      <c r="J434" s="39"/>
      <c r="K434" s="39"/>
      <c r="L434" s="39"/>
      <c r="M434" s="39"/>
      <c r="N434" s="39"/>
      <c r="O434" s="39"/>
      <c r="P434" s="39"/>
      <c r="Q434" s="39"/>
      <c r="R434" s="38">
        <v>2006</v>
      </c>
      <c r="S434" s="38">
        <v>2007</v>
      </c>
      <c r="T434" s="38">
        <v>2008</v>
      </c>
      <c r="U434" s="38">
        <v>2009</v>
      </c>
      <c r="V434" s="38">
        <v>2010</v>
      </c>
      <c r="W434" s="38"/>
      <c r="X434" s="48"/>
    </row>
    <row r="435" spans="1:24" collapsed="1" x14ac:dyDescent="0.2">
      <c r="A435" s="6" t="s">
        <v>59</v>
      </c>
      <c r="B435" s="6" t="s">
        <v>485</v>
      </c>
      <c r="C435" s="7">
        <f>197232</f>
        <v>197232</v>
      </c>
      <c r="D435" s="1">
        <f>203214</f>
        <v>203214</v>
      </c>
      <c r="E435" s="7">
        <v>181759</v>
      </c>
      <c r="F435" s="99"/>
      <c r="G435" s="7">
        <v>168960</v>
      </c>
      <c r="H435" s="7">
        <v>155075</v>
      </c>
      <c r="I435" s="39">
        <v>159584</v>
      </c>
      <c r="J435" s="39"/>
      <c r="K435" s="39">
        <v>151178</v>
      </c>
      <c r="L435" s="39">
        <v>162191</v>
      </c>
      <c r="M435" s="39">
        <v>169527</v>
      </c>
      <c r="N435" s="39">
        <v>170691</v>
      </c>
      <c r="O435" s="39">
        <v>164565</v>
      </c>
      <c r="P435" s="39">
        <v>165061</v>
      </c>
      <c r="Q435" s="39">
        <v>148527</v>
      </c>
      <c r="R435" s="39">
        <v>143124</v>
      </c>
      <c r="S435" s="39">
        <v>148044</v>
      </c>
      <c r="T435" s="39">
        <v>148827</v>
      </c>
      <c r="U435" s="39">
        <v>147457</v>
      </c>
      <c r="V435" s="39">
        <v>148089</v>
      </c>
      <c r="W435" s="39">
        <v>152522</v>
      </c>
      <c r="X435" s="39">
        <v>153893</v>
      </c>
    </row>
    <row r="436" spans="1:24" x14ac:dyDescent="0.2">
      <c r="A436" s="5"/>
      <c r="B436" s="5"/>
      <c r="C436" s="5"/>
      <c r="D436" s="2"/>
      <c r="E436" s="7"/>
      <c r="F436" s="99"/>
      <c r="G436" s="7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</row>
    <row r="437" spans="1:24" x14ac:dyDescent="0.2">
      <c r="A437" s="6" t="s">
        <v>80</v>
      </c>
      <c r="B437" s="6" t="s">
        <v>198</v>
      </c>
      <c r="C437" s="7">
        <f>5756</f>
        <v>5756</v>
      </c>
      <c r="D437" s="1">
        <f>8084</f>
        <v>8084</v>
      </c>
      <c r="E437" s="7">
        <v>8110</v>
      </c>
      <c r="F437" s="99"/>
      <c r="G437" s="7">
        <v>8864</v>
      </c>
      <c r="H437" s="7">
        <v>8195</v>
      </c>
      <c r="I437" s="39">
        <v>7003</v>
      </c>
      <c r="J437" s="39"/>
      <c r="K437" s="39">
        <v>8821</v>
      </c>
      <c r="L437" s="39">
        <v>8698</v>
      </c>
      <c r="M437" s="39">
        <v>6940</v>
      </c>
      <c r="N437" s="39">
        <v>5384</v>
      </c>
      <c r="O437" s="39">
        <v>6960</v>
      </c>
      <c r="P437" s="39">
        <v>8346</v>
      </c>
      <c r="Q437" s="39">
        <v>10919</v>
      </c>
      <c r="R437" s="39">
        <v>9524</v>
      </c>
      <c r="S437" s="39">
        <v>9114</v>
      </c>
      <c r="T437" s="39">
        <v>8411</v>
      </c>
      <c r="U437" s="39">
        <v>8293</v>
      </c>
      <c r="V437" s="39">
        <v>7994</v>
      </c>
      <c r="W437" s="39">
        <v>7643</v>
      </c>
      <c r="X437" s="39">
        <v>8284</v>
      </c>
    </row>
    <row r="438" spans="1:24" x14ac:dyDescent="0.2">
      <c r="A438" s="5"/>
      <c r="B438" s="5"/>
      <c r="C438" s="5"/>
      <c r="D438" s="2"/>
      <c r="E438" s="5"/>
      <c r="F438" s="6"/>
      <c r="G438" s="7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</row>
    <row r="439" spans="1:24" x14ac:dyDescent="0.2">
      <c r="A439" s="6" t="s">
        <v>82</v>
      </c>
      <c r="B439" s="6" t="s">
        <v>199</v>
      </c>
      <c r="C439" s="5"/>
      <c r="D439" s="2"/>
      <c r="E439" s="7"/>
      <c r="F439" s="99"/>
      <c r="G439" s="7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</row>
    <row r="440" spans="1:24" x14ac:dyDescent="0.2">
      <c r="A440" s="5" t="s">
        <v>84</v>
      </c>
      <c r="B440" s="5" t="s">
        <v>200</v>
      </c>
      <c r="C440" s="7">
        <f>102</f>
        <v>102</v>
      </c>
      <c r="D440" s="1">
        <f>94</f>
        <v>94</v>
      </c>
      <c r="E440" s="7">
        <v>156</v>
      </c>
      <c r="F440" s="99"/>
      <c r="G440" s="7">
        <v>203</v>
      </c>
      <c r="H440" s="7">
        <v>167</v>
      </c>
      <c r="I440" s="39">
        <v>157</v>
      </c>
      <c r="J440" s="39"/>
      <c r="K440" s="39">
        <v>22</v>
      </c>
      <c r="L440" s="39">
        <v>0</v>
      </c>
      <c r="M440" s="39">
        <v>0</v>
      </c>
      <c r="N440" s="39">
        <v>169</v>
      </c>
      <c r="O440" s="39">
        <v>152</v>
      </c>
      <c r="P440" s="39">
        <v>76</v>
      </c>
      <c r="Q440" s="39">
        <v>31</v>
      </c>
      <c r="R440" s="39">
        <v>22</v>
      </c>
      <c r="S440" s="39">
        <v>41</v>
      </c>
      <c r="T440" s="39">
        <v>42</v>
      </c>
      <c r="U440" s="39">
        <v>45</v>
      </c>
      <c r="V440" s="39">
        <v>23</v>
      </c>
      <c r="W440" s="39">
        <v>19</v>
      </c>
      <c r="X440" s="39">
        <v>32</v>
      </c>
    </row>
    <row r="441" spans="1:24" x14ac:dyDescent="0.2">
      <c r="A441" s="5" t="s">
        <v>85</v>
      </c>
      <c r="B441" s="5" t="s">
        <v>565</v>
      </c>
      <c r="C441" s="7">
        <f>434</f>
        <v>434</v>
      </c>
      <c r="D441" s="1">
        <f>54</f>
        <v>54</v>
      </c>
      <c r="E441" s="7">
        <v>39</v>
      </c>
      <c r="F441" s="99"/>
      <c r="G441" s="7">
        <v>56</v>
      </c>
      <c r="H441" s="7">
        <v>8</v>
      </c>
      <c r="I441" s="39">
        <v>34</v>
      </c>
      <c r="J441" s="39"/>
      <c r="K441" s="39">
        <v>22</v>
      </c>
      <c r="L441" s="39">
        <v>3</v>
      </c>
      <c r="M441" s="39">
        <v>0</v>
      </c>
      <c r="N441" s="39">
        <v>0</v>
      </c>
      <c r="O441" s="39">
        <v>0</v>
      </c>
      <c r="P441" s="39">
        <v>0</v>
      </c>
      <c r="Q441" s="39">
        <v>0</v>
      </c>
      <c r="R441" s="39">
        <v>0</v>
      </c>
      <c r="S441" s="39">
        <v>0</v>
      </c>
      <c r="T441" s="39">
        <v>0</v>
      </c>
      <c r="U441" s="39">
        <v>0</v>
      </c>
      <c r="V441" s="39">
        <v>0</v>
      </c>
      <c r="W441" s="39">
        <v>0</v>
      </c>
      <c r="X441" s="39">
        <v>0</v>
      </c>
    </row>
    <row r="442" spans="1:24" x14ac:dyDescent="0.2">
      <c r="A442" s="5" t="s">
        <v>86</v>
      </c>
      <c r="B442" s="5" t="s">
        <v>124</v>
      </c>
      <c r="C442" s="7">
        <f>2550</f>
        <v>2550</v>
      </c>
      <c r="D442" s="1">
        <f>3352</f>
        <v>3352</v>
      </c>
      <c r="E442" s="7">
        <v>1833</v>
      </c>
      <c r="F442" s="99"/>
      <c r="G442" s="7">
        <v>1526</v>
      </c>
      <c r="H442" s="7">
        <v>1688</v>
      </c>
      <c r="I442" s="39">
        <v>1186</v>
      </c>
      <c r="J442" s="39"/>
      <c r="K442" s="39">
        <v>1449</v>
      </c>
      <c r="L442" s="39">
        <v>1268</v>
      </c>
      <c r="M442" s="39">
        <v>1393</v>
      </c>
      <c r="N442" s="39">
        <v>2252</v>
      </c>
      <c r="O442" s="39">
        <v>2061</v>
      </c>
      <c r="P442" s="39">
        <v>1981</v>
      </c>
      <c r="Q442" s="39">
        <v>977</v>
      </c>
      <c r="R442" s="39">
        <v>1040</v>
      </c>
      <c r="S442" s="39">
        <v>1272</v>
      </c>
      <c r="T442" s="39">
        <v>1182</v>
      </c>
      <c r="U442" s="39">
        <v>1268</v>
      </c>
      <c r="V442" s="39">
        <v>1172</v>
      </c>
      <c r="W442" s="39">
        <v>1190</v>
      </c>
      <c r="X442" s="39">
        <v>1225</v>
      </c>
    </row>
    <row r="443" spans="1:24" x14ac:dyDescent="0.2">
      <c r="A443" s="5"/>
      <c r="B443" s="5"/>
      <c r="C443" s="5"/>
      <c r="D443" s="2"/>
      <c r="E443" s="7"/>
      <c r="F443" s="99"/>
      <c r="G443" s="7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</row>
    <row r="444" spans="1:24" x14ac:dyDescent="0.2">
      <c r="A444" s="5" t="s">
        <v>88</v>
      </c>
      <c r="B444" s="5" t="s">
        <v>201</v>
      </c>
      <c r="C444" s="5"/>
      <c r="D444" s="2"/>
      <c r="E444" s="7"/>
      <c r="F444" s="99"/>
      <c r="G444" s="7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</row>
    <row r="445" spans="1:24" x14ac:dyDescent="0.2">
      <c r="A445" s="5"/>
      <c r="B445" s="5" t="s">
        <v>202</v>
      </c>
      <c r="C445" s="7">
        <f>48796</f>
        <v>48796</v>
      </c>
      <c r="D445" s="1">
        <f>50737</f>
        <v>50737</v>
      </c>
      <c r="E445" s="7">
        <v>48950</v>
      </c>
      <c r="F445" s="99"/>
      <c r="G445" s="7">
        <v>47933</v>
      </c>
      <c r="H445" s="7">
        <v>46678</v>
      </c>
      <c r="I445" s="39">
        <v>45717</v>
      </c>
      <c r="J445" s="39"/>
      <c r="K445" s="39">
        <v>44254</v>
      </c>
      <c r="L445" s="39">
        <v>41155</v>
      </c>
      <c r="M445" s="39">
        <v>44186</v>
      </c>
      <c r="N445" s="39">
        <v>45630</v>
      </c>
      <c r="O445" s="39">
        <v>42200</v>
      </c>
      <c r="P445" s="39">
        <v>45908</v>
      </c>
      <c r="Q445" s="39">
        <v>46527</v>
      </c>
      <c r="R445" s="39">
        <v>44171</v>
      </c>
      <c r="S445" s="39">
        <v>41970</v>
      </c>
      <c r="T445" s="39">
        <v>44846</v>
      </c>
      <c r="U445" s="39">
        <v>41581</v>
      </c>
      <c r="V445" s="39">
        <v>41432</v>
      </c>
      <c r="W445" s="39">
        <v>42069</v>
      </c>
      <c r="X445" s="39">
        <v>40222</v>
      </c>
    </row>
    <row r="446" spans="1:24" x14ac:dyDescent="0.2">
      <c r="A446" s="32" t="s">
        <v>333</v>
      </c>
      <c r="B446" s="9" t="s">
        <v>712</v>
      </c>
      <c r="C446" s="7"/>
      <c r="D446" s="1"/>
      <c r="E446" s="7"/>
      <c r="F446" s="99"/>
      <c r="G446" s="7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>
        <v>35863</v>
      </c>
      <c r="U446" s="39">
        <v>32499</v>
      </c>
      <c r="V446" s="39">
        <v>32382</v>
      </c>
      <c r="W446" s="39">
        <v>33422</v>
      </c>
      <c r="X446" s="39">
        <v>31983</v>
      </c>
    </row>
    <row r="447" spans="1:24" x14ac:dyDescent="0.2">
      <c r="A447" s="5"/>
      <c r="B447" s="5"/>
      <c r="C447" s="7"/>
      <c r="D447" s="1"/>
      <c r="E447" s="7"/>
      <c r="F447" s="99"/>
      <c r="G447" s="7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</row>
    <row r="448" spans="1:24" x14ac:dyDescent="0.2">
      <c r="A448" s="5" t="s">
        <v>108</v>
      </c>
      <c r="B448" s="5" t="s">
        <v>593</v>
      </c>
      <c r="C448" s="5"/>
      <c r="D448" s="2"/>
      <c r="E448" s="7"/>
      <c r="F448" s="99"/>
      <c r="G448" s="7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</row>
    <row r="449" spans="1:24" x14ac:dyDescent="0.2">
      <c r="A449" s="5"/>
      <c r="B449" s="5" t="s">
        <v>203</v>
      </c>
      <c r="C449" s="7">
        <f>27273</f>
        <v>27273</v>
      </c>
      <c r="D449" s="1">
        <f>30812</f>
        <v>30812</v>
      </c>
      <c r="E449" s="7">
        <v>30298</v>
      </c>
      <c r="F449" s="99"/>
      <c r="G449" s="7">
        <v>28919</v>
      </c>
      <c r="H449" s="7">
        <v>31152</v>
      </c>
      <c r="I449" s="39">
        <v>14184</v>
      </c>
      <c r="J449" s="39"/>
      <c r="K449" s="39">
        <v>23594</v>
      </c>
      <c r="L449" s="39">
        <v>25828</v>
      </c>
      <c r="M449" s="39">
        <v>28692</v>
      </c>
      <c r="N449" s="39">
        <v>26393</v>
      </c>
      <c r="O449" s="39">
        <v>29890</v>
      </c>
      <c r="P449" s="39">
        <v>29212</v>
      </c>
      <c r="Q449" s="39">
        <v>32635</v>
      </c>
      <c r="R449" s="39">
        <v>33300</v>
      </c>
      <c r="S449" s="39">
        <v>32075</v>
      </c>
      <c r="T449" s="39">
        <v>32520</v>
      </c>
      <c r="U449" s="39">
        <v>31039</v>
      </c>
      <c r="V449" s="39">
        <v>28724</v>
      </c>
      <c r="W449" s="39">
        <v>27869</v>
      </c>
      <c r="X449" s="39">
        <v>22138</v>
      </c>
    </row>
    <row r="450" spans="1:24" x14ac:dyDescent="0.2">
      <c r="A450" s="5"/>
      <c r="B450" s="5"/>
      <c r="C450" s="5"/>
      <c r="D450" s="2"/>
      <c r="E450" s="5"/>
      <c r="F450" s="6"/>
      <c r="G450" s="7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</row>
    <row r="451" spans="1:24" x14ac:dyDescent="0.2">
      <c r="A451" s="5" t="s">
        <v>143</v>
      </c>
      <c r="B451" s="5" t="s">
        <v>204</v>
      </c>
      <c r="C451" s="5"/>
      <c r="D451" s="2"/>
      <c r="E451" s="5"/>
      <c r="F451" s="6"/>
      <c r="G451" s="7"/>
      <c r="U451" s="39"/>
      <c r="V451" s="39"/>
    </row>
    <row r="452" spans="1:24" x14ac:dyDescent="0.2">
      <c r="A452" s="5" t="s">
        <v>205</v>
      </c>
      <c r="B452" s="5" t="s">
        <v>206</v>
      </c>
      <c r="C452" s="5">
        <f>65.6</f>
        <v>65.599999999999994</v>
      </c>
      <c r="D452" s="2">
        <f>64.3</f>
        <v>64.3</v>
      </c>
      <c r="E452" s="5">
        <v>64.099999999999994</v>
      </c>
      <c r="F452" s="6"/>
      <c r="G452" s="24">
        <v>65.34</v>
      </c>
      <c r="H452" s="24">
        <v>68.3</v>
      </c>
      <c r="I452" s="40">
        <v>67.03</v>
      </c>
      <c r="J452" s="40"/>
      <c r="K452" s="40">
        <v>54</v>
      </c>
      <c r="L452" s="40">
        <v>57.1</v>
      </c>
      <c r="M452" s="40">
        <v>55.8</v>
      </c>
      <c r="N452" s="40">
        <v>60.8</v>
      </c>
      <c r="O452" s="40">
        <v>62.2</v>
      </c>
      <c r="P452" s="40">
        <v>66.099999999999994</v>
      </c>
      <c r="Q452" s="40">
        <v>66.400000000000006</v>
      </c>
      <c r="R452" s="40">
        <v>67.900000000000006</v>
      </c>
      <c r="S452" s="40">
        <v>69.8</v>
      </c>
      <c r="T452" s="40">
        <v>70.599999999999994</v>
      </c>
      <c r="U452" s="58">
        <v>69.900000000000006</v>
      </c>
      <c r="V452" s="58">
        <v>69</v>
      </c>
      <c r="W452" s="58">
        <v>69.5</v>
      </c>
      <c r="X452" s="58">
        <v>68.7</v>
      </c>
    </row>
    <row r="453" spans="1:24" x14ac:dyDescent="0.2">
      <c r="A453" s="5" t="s">
        <v>207</v>
      </c>
      <c r="B453" s="5" t="s">
        <v>486</v>
      </c>
      <c r="C453" s="5">
        <f>23.5</f>
        <v>23.5</v>
      </c>
      <c r="D453" s="2">
        <f>21.9</f>
        <v>21.9</v>
      </c>
      <c r="E453" s="5">
        <v>22.5</v>
      </c>
      <c r="F453" s="6"/>
      <c r="G453" s="24">
        <v>22.95</v>
      </c>
      <c r="H453" s="24">
        <v>21</v>
      </c>
      <c r="I453" s="40">
        <f>15.97+6.27</f>
        <v>22.240000000000002</v>
      </c>
      <c r="J453" s="40"/>
      <c r="K453" s="40">
        <v>25</v>
      </c>
      <c r="L453" s="40">
        <v>24.2</v>
      </c>
      <c r="M453" s="40">
        <v>23.3</v>
      </c>
      <c r="N453" s="40">
        <v>21.5</v>
      </c>
      <c r="O453" s="40">
        <f>13.8+7.1</f>
        <v>20.9</v>
      </c>
      <c r="P453" s="40">
        <v>19.600000000000001</v>
      </c>
      <c r="Q453" s="40">
        <v>16.2</v>
      </c>
      <c r="R453" s="40">
        <v>18.399999999999999</v>
      </c>
      <c r="S453" s="40">
        <v>18.899999999999999</v>
      </c>
      <c r="T453" s="40">
        <v>19.100000000000001</v>
      </c>
      <c r="U453" s="58">
        <f>13.5+6.4</f>
        <v>19.899999999999999</v>
      </c>
      <c r="V453" s="58">
        <f>13.5+6.5</f>
        <v>20</v>
      </c>
      <c r="W453" s="58">
        <f>13.3+6.4</f>
        <v>19.700000000000003</v>
      </c>
      <c r="X453" s="58">
        <f>13.7+6.6</f>
        <v>20.299999999999997</v>
      </c>
    </row>
    <row r="454" spans="1:24" x14ac:dyDescent="0.2">
      <c r="A454" s="5" t="s">
        <v>208</v>
      </c>
      <c r="B454" s="5" t="s">
        <v>487</v>
      </c>
      <c r="C454" s="5">
        <f>7.2</f>
        <v>7.2</v>
      </c>
      <c r="D454" s="2">
        <f>8.5</f>
        <v>8.5</v>
      </c>
      <c r="E454" s="5">
        <v>8.4</v>
      </c>
      <c r="F454" s="6"/>
      <c r="G454" s="24">
        <v>6.99</v>
      </c>
      <c r="H454" s="24">
        <v>6.4</v>
      </c>
      <c r="I454" s="40">
        <f>7.05</f>
        <v>7.05</v>
      </c>
      <c r="J454" s="40"/>
      <c r="K454" s="40">
        <v>12.1</v>
      </c>
      <c r="L454" s="40">
        <v>10.6</v>
      </c>
      <c r="M454" s="40">
        <v>11.5</v>
      </c>
      <c r="N454" s="40">
        <v>10.3</v>
      </c>
      <c r="O454" s="40">
        <v>9.9</v>
      </c>
      <c r="P454" s="40">
        <v>7.6</v>
      </c>
      <c r="Q454" s="40">
        <v>6.6</v>
      </c>
      <c r="R454" s="40">
        <v>6.2</v>
      </c>
      <c r="S454" s="40">
        <v>6.2</v>
      </c>
      <c r="T454" s="40">
        <v>6.3</v>
      </c>
      <c r="U454" s="58">
        <v>6.5</v>
      </c>
      <c r="V454" s="58">
        <v>6.8</v>
      </c>
      <c r="W454" s="58">
        <v>6.8</v>
      </c>
      <c r="X454" s="58">
        <v>7.2</v>
      </c>
    </row>
    <row r="455" spans="1:24" x14ac:dyDescent="0.2">
      <c r="A455" s="5" t="s">
        <v>209</v>
      </c>
      <c r="B455" s="5" t="s">
        <v>488</v>
      </c>
      <c r="C455" s="5">
        <f>2.9</f>
        <v>2.9</v>
      </c>
      <c r="D455" s="33">
        <f>4</f>
        <v>4</v>
      </c>
      <c r="E455" s="5">
        <v>3.7</v>
      </c>
      <c r="F455" s="6"/>
      <c r="G455" s="24">
        <v>3.4</v>
      </c>
      <c r="H455" s="24">
        <v>3.1</v>
      </c>
      <c r="I455" s="40">
        <f>2.68</f>
        <v>2.68</v>
      </c>
      <c r="J455" s="40"/>
      <c r="K455" s="40">
        <v>7.5</v>
      </c>
      <c r="L455" s="40">
        <v>5.6</v>
      </c>
      <c r="M455" s="40">
        <v>7.1</v>
      </c>
      <c r="N455" s="40">
        <v>5.9</v>
      </c>
      <c r="O455" s="40">
        <v>5.6</v>
      </c>
      <c r="P455" s="40">
        <v>3.7</v>
      </c>
      <c r="Q455" s="40">
        <v>3.6</v>
      </c>
      <c r="R455" s="40">
        <v>3.2</v>
      </c>
      <c r="S455" s="40">
        <v>2.8</v>
      </c>
      <c r="T455" s="40">
        <v>2.8</v>
      </c>
      <c r="U455" s="58">
        <v>2.7</v>
      </c>
      <c r="V455" s="58">
        <v>3</v>
      </c>
      <c r="W455" s="58">
        <v>2.8</v>
      </c>
      <c r="X455" s="58">
        <v>2.8</v>
      </c>
    </row>
    <row r="456" spans="1:24" x14ac:dyDescent="0.2">
      <c r="A456" s="5" t="s">
        <v>210</v>
      </c>
      <c r="B456" s="5" t="s">
        <v>693</v>
      </c>
      <c r="C456" s="5">
        <f>0.8</f>
        <v>0.8</v>
      </c>
      <c r="D456" s="2">
        <f>1.3</f>
        <v>1.3</v>
      </c>
      <c r="E456" s="5">
        <v>1.3</v>
      </c>
      <c r="F456" s="6"/>
      <c r="G456" s="24">
        <v>1.25</v>
      </c>
      <c r="H456" s="24">
        <v>1.2</v>
      </c>
      <c r="I456" s="40">
        <f>0.55+0.17+0.18+0.09</f>
        <v>0.9900000000000001</v>
      </c>
      <c r="J456" s="40"/>
      <c r="K456" s="40">
        <f>(1.4+0.1)</f>
        <v>1.5</v>
      </c>
      <c r="L456" s="40">
        <v>2.2999999999999998</v>
      </c>
      <c r="M456" s="40">
        <v>2.2999999999999998</v>
      </c>
      <c r="N456" s="40">
        <v>1.6</v>
      </c>
      <c r="O456" s="40">
        <f>1+0.2+0.1+0.1</f>
        <v>1.4000000000000001</v>
      </c>
      <c r="P456" s="40">
        <v>3</v>
      </c>
      <c r="Q456" s="40">
        <v>7.2</v>
      </c>
      <c r="R456" s="40">
        <f>0.7+0.3+1.5+1.7</f>
        <v>4.2</v>
      </c>
      <c r="S456" s="40">
        <v>2.2000000000000002</v>
      </c>
      <c r="T456" s="52">
        <f>0.6+0.2+0.1+0.2</f>
        <v>1.1000000000000001</v>
      </c>
      <c r="U456" s="101">
        <f>0.6+0.2+0.1+0.1</f>
        <v>1</v>
      </c>
      <c r="V456" s="58">
        <f>0.7+0.2+0.1+0.1</f>
        <v>1.0999999999999999</v>
      </c>
      <c r="W456" s="58">
        <f>0.6+0.2+0.2+0.1</f>
        <v>1.1000000000000001</v>
      </c>
      <c r="X456" s="58">
        <f>0.6+0.2+0.2+0.1</f>
        <v>1.1000000000000001</v>
      </c>
    </row>
    <row r="457" spans="1:24" x14ac:dyDescent="0.2">
      <c r="A457" s="5"/>
      <c r="B457" s="5"/>
      <c r="C457" s="5"/>
      <c r="D457" s="2"/>
      <c r="E457" s="5"/>
      <c r="F457" s="6"/>
      <c r="G457" s="7"/>
    </row>
    <row r="458" spans="1:24" x14ac:dyDescent="0.2">
      <c r="A458" s="5"/>
      <c r="B458" s="6" t="s">
        <v>211</v>
      </c>
      <c r="C458" s="5"/>
      <c r="D458" s="2"/>
      <c r="E458" s="5"/>
      <c r="F458" s="6"/>
      <c r="G458" s="7"/>
    </row>
    <row r="459" spans="1:24" x14ac:dyDescent="0.2">
      <c r="A459" s="5"/>
      <c r="B459" s="6" t="s">
        <v>212</v>
      </c>
      <c r="C459" s="5"/>
      <c r="D459" s="2"/>
      <c r="E459" s="5"/>
      <c r="F459" s="6"/>
      <c r="G459" s="7"/>
    </row>
    <row r="460" spans="1:24" x14ac:dyDescent="0.2">
      <c r="A460" s="5"/>
      <c r="B460" s="6"/>
      <c r="C460" s="5"/>
      <c r="D460" s="2"/>
      <c r="E460" s="5"/>
      <c r="F460" s="6"/>
      <c r="G460" s="7"/>
    </row>
    <row r="461" spans="1:24" x14ac:dyDescent="0.2">
      <c r="A461" s="5"/>
      <c r="B461" s="6"/>
      <c r="C461" s="5"/>
      <c r="D461" s="63">
        <f>1993</f>
        <v>1993</v>
      </c>
      <c r="E461" s="63">
        <f>1994</f>
        <v>1994</v>
      </c>
      <c r="F461" s="63"/>
      <c r="G461" s="63">
        <v>1995</v>
      </c>
      <c r="H461" s="63">
        <v>1996</v>
      </c>
      <c r="I461" s="42">
        <v>1997</v>
      </c>
      <c r="J461" s="42">
        <v>1998</v>
      </c>
      <c r="K461" s="42">
        <v>1999</v>
      </c>
      <c r="L461" s="42">
        <v>2000</v>
      </c>
      <c r="M461" s="42">
        <v>2001</v>
      </c>
      <c r="N461" s="42">
        <v>2002</v>
      </c>
      <c r="O461" s="42">
        <v>2003</v>
      </c>
      <c r="P461" s="42">
        <v>2004</v>
      </c>
      <c r="Q461" s="42">
        <v>2005</v>
      </c>
      <c r="R461" s="38">
        <v>2006</v>
      </c>
      <c r="S461" s="38">
        <v>2007</v>
      </c>
      <c r="T461" s="38">
        <v>2008</v>
      </c>
      <c r="U461" s="38">
        <v>2009</v>
      </c>
      <c r="V461" s="38">
        <v>2010</v>
      </c>
      <c r="W461" s="38">
        <v>2011</v>
      </c>
      <c r="X461" s="38">
        <v>2012</v>
      </c>
    </row>
    <row r="462" spans="1:24" x14ac:dyDescent="0.2">
      <c r="A462" s="6" t="s">
        <v>336</v>
      </c>
      <c r="B462" s="6" t="s">
        <v>518</v>
      </c>
      <c r="C462" s="5"/>
      <c r="D462" s="2"/>
      <c r="E462" s="5"/>
      <c r="F462" s="6"/>
      <c r="G462" s="7"/>
    </row>
    <row r="463" spans="1:24" x14ac:dyDescent="0.2">
      <c r="A463" s="5" t="s">
        <v>4</v>
      </c>
      <c r="B463" s="5" t="s">
        <v>61</v>
      </c>
      <c r="C463" s="7">
        <f>2619</f>
        <v>2619</v>
      </c>
      <c r="D463" s="1">
        <f>2535</f>
        <v>2535</v>
      </c>
      <c r="E463" s="10">
        <v>2635</v>
      </c>
      <c r="F463" s="29" t="s">
        <v>7</v>
      </c>
      <c r="G463" s="7">
        <v>2450</v>
      </c>
      <c r="H463" s="7">
        <v>2561</v>
      </c>
      <c r="I463" s="39">
        <v>2438</v>
      </c>
      <c r="J463" s="39">
        <v>2314</v>
      </c>
      <c r="K463" s="39">
        <v>2497</v>
      </c>
      <c r="L463" s="39">
        <v>2216</v>
      </c>
      <c r="M463" s="39">
        <v>2169</v>
      </c>
      <c r="N463" s="39">
        <v>1828</v>
      </c>
      <c r="O463" s="39">
        <v>2034</v>
      </c>
      <c r="P463" s="39">
        <v>2082</v>
      </c>
      <c r="Q463" s="39">
        <v>2061</v>
      </c>
      <c r="R463" s="39">
        <v>2292</v>
      </c>
      <c r="S463" s="39">
        <v>2220</v>
      </c>
      <c r="T463" s="39">
        <v>2061</v>
      </c>
      <c r="U463" s="39">
        <v>2029</v>
      </c>
      <c r="V463" s="39">
        <v>2256</v>
      </c>
      <c r="W463" s="39">
        <v>2115</v>
      </c>
      <c r="X463" s="39">
        <v>1956</v>
      </c>
    </row>
    <row r="464" spans="1:24" x14ac:dyDescent="0.2">
      <c r="A464" s="5" t="s">
        <v>59</v>
      </c>
      <c r="B464" s="5" t="s">
        <v>9</v>
      </c>
      <c r="C464" s="7">
        <f>2602</f>
        <v>2602</v>
      </c>
      <c r="D464" s="1">
        <f>2478</f>
        <v>2478</v>
      </c>
      <c r="E464" s="10">
        <v>2497</v>
      </c>
      <c r="F464" s="29" t="s">
        <v>7</v>
      </c>
      <c r="G464" s="7">
        <v>2500</v>
      </c>
      <c r="H464" s="7">
        <v>2379</v>
      </c>
      <c r="I464" s="39">
        <v>2433</v>
      </c>
      <c r="J464" s="39">
        <v>2453</v>
      </c>
      <c r="K464" s="39">
        <v>2363</v>
      </c>
      <c r="L464" s="39">
        <v>2337</v>
      </c>
      <c r="M464" s="39">
        <v>2222</v>
      </c>
      <c r="N464" s="39">
        <v>2245</v>
      </c>
      <c r="O464" s="39">
        <v>2209</v>
      </c>
      <c r="P464" s="39">
        <v>2108</v>
      </c>
      <c r="Q464" s="39">
        <v>2083</v>
      </c>
      <c r="R464" s="39">
        <v>1988</v>
      </c>
      <c r="S464" s="39">
        <v>2029</v>
      </c>
      <c r="T464" s="39">
        <v>2093</v>
      </c>
      <c r="U464" s="39">
        <v>1928</v>
      </c>
      <c r="V464" s="39">
        <v>2017</v>
      </c>
      <c r="W464" s="39">
        <v>2020</v>
      </c>
      <c r="X464" s="39">
        <v>1974</v>
      </c>
    </row>
    <row r="465" spans="1:24" x14ac:dyDescent="0.2">
      <c r="A465" s="5" t="s">
        <v>80</v>
      </c>
      <c r="B465" s="5" t="s">
        <v>64</v>
      </c>
      <c r="C465" s="7">
        <f>1827</f>
        <v>1827</v>
      </c>
      <c r="D465" s="1">
        <f>1742</f>
        <v>1742</v>
      </c>
      <c r="E465" s="10">
        <v>1884</v>
      </c>
      <c r="F465" s="29" t="s">
        <v>7</v>
      </c>
      <c r="G465" s="7">
        <v>1844</v>
      </c>
      <c r="H465" s="7">
        <v>2048</v>
      </c>
      <c r="I465" s="39">
        <v>2058</v>
      </c>
      <c r="J465" s="39">
        <v>1944</v>
      </c>
      <c r="K465" s="39">
        <v>2086</v>
      </c>
      <c r="L465" s="39">
        <v>2011</v>
      </c>
      <c r="M465" s="39">
        <v>1984</v>
      </c>
      <c r="N465" s="39">
        <v>1551</v>
      </c>
      <c r="O465" s="39">
        <v>1377</v>
      </c>
      <c r="P465" s="39">
        <v>1354</v>
      </c>
      <c r="Q465" s="39">
        <v>1351</v>
      </c>
      <c r="R465" s="39">
        <v>1661</v>
      </c>
      <c r="S465" s="39">
        <v>1861</v>
      </c>
      <c r="T465" s="39">
        <v>1830</v>
      </c>
      <c r="U465" s="39">
        <v>1925</v>
      </c>
      <c r="V465" s="39">
        <v>2176</v>
      </c>
      <c r="W465" s="39">
        <v>2271</v>
      </c>
      <c r="X465" s="39">
        <v>2253</v>
      </c>
    </row>
    <row r="466" spans="1:24" x14ac:dyDescent="0.2">
      <c r="A466" s="32" t="s">
        <v>82</v>
      </c>
      <c r="B466" s="5" t="s">
        <v>456</v>
      </c>
      <c r="C466" s="7"/>
      <c r="D466" s="1"/>
      <c r="E466" s="10"/>
      <c r="F466" s="29"/>
      <c r="G466" s="7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</row>
    <row r="467" spans="1:24" x14ac:dyDescent="0.2">
      <c r="A467" s="54" t="s">
        <v>84</v>
      </c>
      <c r="B467" s="5" t="s">
        <v>497</v>
      </c>
      <c r="C467" s="7"/>
      <c r="D467" s="1"/>
      <c r="E467" s="10"/>
      <c r="F467" s="29"/>
      <c r="G467" s="7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</row>
    <row r="468" spans="1:24" x14ac:dyDescent="0.2">
      <c r="A468" s="32"/>
      <c r="B468" s="5" t="s">
        <v>498</v>
      </c>
      <c r="C468" s="7"/>
      <c r="D468" s="1"/>
      <c r="E468" s="10"/>
      <c r="F468" s="29"/>
      <c r="G468" s="7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</row>
    <row r="469" spans="1:24" x14ac:dyDescent="0.2">
      <c r="B469" s="5" t="s">
        <v>499</v>
      </c>
      <c r="C469" s="7"/>
      <c r="D469" s="1"/>
      <c r="E469" s="10"/>
      <c r="F469" s="29"/>
      <c r="G469" s="7"/>
      <c r="I469" s="39"/>
      <c r="J469" s="39"/>
      <c r="K469" s="39"/>
      <c r="L469" s="39"/>
      <c r="M469" s="39"/>
      <c r="N469" s="39"/>
      <c r="O469" s="39"/>
      <c r="P469" s="39">
        <v>0</v>
      </c>
      <c r="Q469" s="39">
        <v>1</v>
      </c>
      <c r="R469" s="39">
        <v>0</v>
      </c>
      <c r="S469" s="39">
        <v>3</v>
      </c>
      <c r="T469" s="39">
        <v>2</v>
      </c>
      <c r="U469" s="39">
        <v>3</v>
      </c>
      <c r="V469" s="39">
        <v>6</v>
      </c>
      <c r="W469" s="39">
        <v>0</v>
      </c>
      <c r="X469" s="39">
        <v>0</v>
      </c>
    </row>
    <row r="470" spans="1:24" hidden="1" outlineLevel="1" x14ac:dyDescent="0.2">
      <c r="A470" s="32" t="s">
        <v>85</v>
      </c>
      <c r="B470" s="5" t="s">
        <v>320</v>
      </c>
      <c r="C470" s="7"/>
      <c r="D470" s="1"/>
      <c r="E470" s="10"/>
      <c r="F470" s="29"/>
      <c r="G470" s="7"/>
      <c r="I470" s="39"/>
      <c r="J470" s="39"/>
      <c r="K470" s="39"/>
      <c r="L470" s="39"/>
      <c r="M470" s="39"/>
      <c r="N470" s="39"/>
      <c r="O470" s="39"/>
      <c r="P470" s="39">
        <v>2</v>
      </c>
      <c r="Q470" s="39">
        <v>0</v>
      </c>
      <c r="R470" s="39" t="s">
        <v>329</v>
      </c>
      <c r="S470" s="39" t="s">
        <v>329</v>
      </c>
      <c r="T470" s="39"/>
      <c r="U470" s="39"/>
      <c r="V470" s="39"/>
      <c r="W470" s="39"/>
      <c r="X470" s="39"/>
    </row>
    <row r="471" spans="1:24" collapsed="1" x14ac:dyDescent="0.2">
      <c r="A471" s="32" t="s">
        <v>85</v>
      </c>
      <c r="B471" s="5" t="s">
        <v>519</v>
      </c>
      <c r="C471" s="7"/>
      <c r="D471" s="1"/>
      <c r="E471" s="10"/>
      <c r="F471" s="29"/>
      <c r="G471" s="7"/>
      <c r="I471" s="39"/>
      <c r="J471" s="39"/>
      <c r="K471" s="39"/>
      <c r="L471" s="39"/>
      <c r="M471" s="39"/>
      <c r="N471" s="39"/>
      <c r="O471" s="39"/>
      <c r="P471" s="39">
        <v>114</v>
      </c>
      <c r="Q471" s="39">
        <v>79</v>
      </c>
      <c r="R471" s="39">
        <v>259</v>
      </c>
      <c r="S471" s="39">
        <v>184</v>
      </c>
      <c r="T471" s="39">
        <v>142</v>
      </c>
      <c r="U471" s="39">
        <v>134</v>
      </c>
      <c r="V471" s="39">
        <v>100</v>
      </c>
      <c r="W471" s="39">
        <v>51</v>
      </c>
      <c r="X471" s="39">
        <v>23</v>
      </c>
    </row>
    <row r="472" spans="1:24" x14ac:dyDescent="0.2">
      <c r="A472" s="32" t="s">
        <v>86</v>
      </c>
      <c r="B472" s="5" t="s">
        <v>501</v>
      </c>
      <c r="C472" s="7"/>
      <c r="D472" s="1"/>
      <c r="E472" s="10"/>
      <c r="F472" s="29"/>
      <c r="G472" s="7"/>
      <c r="I472" s="39"/>
      <c r="J472" s="39"/>
      <c r="K472" s="39"/>
      <c r="L472" s="39"/>
      <c r="M472" s="39"/>
      <c r="N472" s="39"/>
      <c r="O472" s="39"/>
      <c r="P472" s="39">
        <v>1964</v>
      </c>
      <c r="Q472" s="39">
        <v>1991</v>
      </c>
      <c r="R472" s="39">
        <v>1703</v>
      </c>
      <c r="S472" s="39">
        <v>1811</v>
      </c>
      <c r="T472" s="39">
        <v>1908</v>
      </c>
      <c r="U472" s="39">
        <v>1758</v>
      </c>
      <c r="V472" s="39">
        <v>1896</v>
      </c>
      <c r="W472" s="39">
        <v>1945</v>
      </c>
      <c r="X472" s="39">
        <v>1948</v>
      </c>
    </row>
    <row r="473" spans="1:24" x14ac:dyDescent="0.2">
      <c r="A473" s="32" t="s">
        <v>87</v>
      </c>
      <c r="B473" s="5" t="s">
        <v>521</v>
      </c>
      <c r="C473" s="7"/>
      <c r="D473" s="1"/>
      <c r="E473" s="10"/>
      <c r="F473" s="29"/>
      <c r="G473" s="7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</row>
    <row r="474" spans="1:24" x14ac:dyDescent="0.2">
      <c r="A474" s="32"/>
      <c r="B474" s="5" t="s">
        <v>520</v>
      </c>
      <c r="C474" s="7"/>
      <c r="D474" s="1"/>
      <c r="E474" s="10"/>
      <c r="F474" s="29"/>
      <c r="G474" s="7"/>
      <c r="I474" s="39"/>
      <c r="J474" s="39"/>
      <c r="K474" s="39"/>
      <c r="L474" s="39"/>
      <c r="M474" s="39"/>
      <c r="N474" s="39"/>
      <c r="O474" s="39"/>
      <c r="P474" s="39">
        <v>28</v>
      </c>
      <c r="Q474" s="39">
        <v>12</v>
      </c>
      <c r="R474" s="39">
        <v>26</v>
      </c>
      <c r="S474" s="39">
        <v>31</v>
      </c>
      <c r="T474" s="39">
        <v>41</v>
      </c>
      <c r="U474" s="39">
        <v>33</v>
      </c>
      <c r="V474" s="39">
        <v>15</v>
      </c>
      <c r="W474" s="39">
        <v>23</v>
      </c>
      <c r="X474" s="39">
        <v>3</v>
      </c>
    </row>
    <row r="475" spans="1:24" hidden="1" outlineLevel="1" x14ac:dyDescent="0.2">
      <c r="A475" s="5" t="s">
        <v>82</v>
      </c>
      <c r="B475" s="5" t="s">
        <v>13</v>
      </c>
      <c r="C475" s="5"/>
      <c r="D475" s="2"/>
      <c r="E475" s="92"/>
      <c r="F475" s="6"/>
      <c r="G475" s="7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</row>
    <row r="476" spans="1:24" hidden="1" outlineLevel="1" x14ac:dyDescent="0.2">
      <c r="A476" s="5" t="s">
        <v>84</v>
      </c>
      <c r="B476" s="5" t="s">
        <v>71</v>
      </c>
      <c r="C476" s="5">
        <f>26</f>
        <v>26</v>
      </c>
      <c r="D476" s="1">
        <f>10</f>
        <v>10</v>
      </c>
      <c r="E476" s="5" t="s">
        <v>16</v>
      </c>
      <c r="F476" s="6"/>
      <c r="G476" s="7">
        <v>14</v>
      </c>
      <c r="H476" s="7">
        <v>11</v>
      </c>
      <c r="I476" s="39">
        <v>9</v>
      </c>
      <c r="J476" s="39">
        <v>11</v>
      </c>
      <c r="K476" s="39">
        <v>10</v>
      </c>
      <c r="L476" s="39">
        <v>12</v>
      </c>
      <c r="M476" s="39">
        <v>11</v>
      </c>
      <c r="N476" s="39">
        <v>16</v>
      </c>
      <c r="O476" s="39">
        <v>6</v>
      </c>
      <c r="P476" s="39"/>
      <c r="Q476" s="39"/>
      <c r="R476" s="39"/>
      <c r="S476" s="39"/>
      <c r="T476" s="39"/>
      <c r="U476" s="39"/>
      <c r="V476" s="39"/>
      <c r="W476" s="39"/>
      <c r="X476" s="39"/>
    </row>
    <row r="477" spans="1:24" hidden="1" outlineLevel="1" x14ac:dyDescent="0.2">
      <c r="A477" s="5" t="s">
        <v>85</v>
      </c>
      <c r="B477" s="5" t="s">
        <v>18</v>
      </c>
      <c r="C477" s="5">
        <f>11</f>
        <v>11</v>
      </c>
      <c r="D477" s="1">
        <f>8</f>
        <v>8</v>
      </c>
      <c r="E477" s="5" t="s">
        <v>19</v>
      </c>
      <c r="F477" s="6"/>
      <c r="G477" s="7">
        <v>6</v>
      </c>
      <c r="H477" s="7">
        <v>9</v>
      </c>
      <c r="I477" s="39">
        <v>11</v>
      </c>
      <c r="J477" s="39">
        <v>5</v>
      </c>
      <c r="K477" s="39" t="s">
        <v>297</v>
      </c>
      <c r="L477" s="39" t="s">
        <v>297</v>
      </c>
      <c r="M477" s="39" t="s">
        <v>297</v>
      </c>
      <c r="N477" s="39" t="s">
        <v>297</v>
      </c>
      <c r="O477" s="39"/>
      <c r="P477" s="39"/>
      <c r="Q477" s="39"/>
      <c r="R477" s="39"/>
      <c r="S477" s="39"/>
      <c r="T477" s="39"/>
      <c r="U477" s="39"/>
      <c r="V477" s="39"/>
      <c r="W477" s="39"/>
      <c r="X477" s="39"/>
    </row>
    <row r="478" spans="1:24" hidden="1" outlineLevel="1" x14ac:dyDescent="0.2">
      <c r="A478" s="5" t="s">
        <v>86</v>
      </c>
      <c r="B478" s="5" t="s">
        <v>161</v>
      </c>
      <c r="C478" s="5">
        <f>21</f>
        <v>21</v>
      </c>
      <c r="D478" s="1">
        <f>11</f>
        <v>11</v>
      </c>
      <c r="E478" s="5" t="s">
        <v>22</v>
      </c>
      <c r="F478" s="6"/>
      <c r="G478" s="7">
        <v>12</v>
      </c>
      <c r="H478" s="7">
        <v>6</v>
      </c>
      <c r="I478" s="39">
        <v>4</v>
      </c>
      <c r="J478" s="39">
        <v>7</v>
      </c>
      <c r="K478" s="39">
        <v>5</v>
      </c>
      <c r="L478" s="39">
        <v>3</v>
      </c>
      <c r="M478" s="39">
        <v>5</v>
      </c>
      <c r="N478" s="39">
        <v>1</v>
      </c>
      <c r="O478" s="39">
        <v>4</v>
      </c>
      <c r="P478" s="39"/>
      <c r="Q478" s="39"/>
      <c r="R478" s="39"/>
      <c r="S478" s="39"/>
      <c r="T478" s="39"/>
      <c r="U478" s="39"/>
      <c r="V478" s="39"/>
      <c r="W478" s="39"/>
      <c r="X478" s="39"/>
    </row>
    <row r="479" spans="1:24" hidden="1" outlineLevel="1" x14ac:dyDescent="0.2">
      <c r="A479" s="5" t="s">
        <v>87</v>
      </c>
      <c r="B479" s="5" t="s">
        <v>24</v>
      </c>
      <c r="C479" s="5">
        <f>68</f>
        <v>68</v>
      </c>
      <c r="D479" s="1">
        <f>21</f>
        <v>21</v>
      </c>
      <c r="E479" s="5" t="s">
        <v>25</v>
      </c>
      <c r="F479" s="6"/>
      <c r="G479" s="7">
        <v>20</v>
      </c>
      <c r="H479" s="7">
        <v>28</v>
      </c>
      <c r="I479" s="39">
        <v>25</v>
      </c>
      <c r="J479" s="39">
        <v>39</v>
      </c>
      <c r="K479" s="39">
        <v>28</v>
      </c>
      <c r="L479" s="39">
        <v>34</v>
      </c>
      <c r="M479" s="39">
        <v>39</v>
      </c>
      <c r="N479" s="39">
        <v>91</v>
      </c>
      <c r="O479" s="39">
        <v>64</v>
      </c>
      <c r="P479" s="39"/>
      <c r="Q479" s="39"/>
      <c r="R479" s="39"/>
      <c r="S479" s="39"/>
      <c r="T479" s="39"/>
      <c r="U479" s="39"/>
      <c r="V479" s="39"/>
      <c r="W479" s="39"/>
      <c r="X479" s="39"/>
    </row>
    <row r="480" spans="1:24" hidden="1" outlineLevel="1" x14ac:dyDescent="0.2">
      <c r="A480" s="5" t="s">
        <v>133</v>
      </c>
      <c r="B480" s="5" t="s">
        <v>33</v>
      </c>
      <c r="C480" s="5">
        <f>7</f>
        <v>7</v>
      </c>
      <c r="D480" s="1">
        <f>3</f>
        <v>3</v>
      </c>
      <c r="E480" s="5" t="s">
        <v>162</v>
      </c>
      <c r="F480" s="6"/>
      <c r="G480" s="7">
        <v>2</v>
      </c>
      <c r="H480" s="7">
        <v>0</v>
      </c>
      <c r="I480" s="39">
        <v>0</v>
      </c>
      <c r="J480" s="39">
        <v>0</v>
      </c>
      <c r="K480" s="39">
        <v>0</v>
      </c>
      <c r="L480" s="39">
        <v>1</v>
      </c>
      <c r="M480" s="39">
        <v>0</v>
      </c>
      <c r="N480" s="39">
        <v>0</v>
      </c>
      <c r="O480" s="39">
        <v>0</v>
      </c>
      <c r="P480" s="39"/>
      <c r="Q480" s="39"/>
      <c r="R480" s="39"/>
      <c r="S480" s="39"/>
      <c r="T480" s="39"/>
      <c r="U480" s="39"/>
      <c r="V480" s="39"/>
      <c r="W480" s="39"/>
      <c r="X480" s="39"/>
    </row>
    <row r="481" spans="1:24" hidden="1" outlineLevel="1" x14ac:dyDescent="0.2">
      <c r="A481" s="5" t="s">
        <v>134</v>
      </c>
      <c r="B481" s="5" t="s">
        <v>163</v>
      </c>
      <c r="C481" s="5">
        <f>3</f>
        <v>3</v>
      </c>
      <c r="D481" s="1">
        <f>3</f>
        <v>3</v>
      </c>
      <c r="E481" s="5" t="s">
        <v>164</v>
      </c>
      <c r="F481" s="6"/>
      <c r="G481" s="7">
        <v>3</v>
      </c>
      <c r="H481" s="7">
        <v>1</v>
      </c>
      <c r="I481" s="39">
        <v>2</v>
      </c>
      <c r="J481" s="39">
        <v>1</v>
      </c>
      <c r="K481" s="39">
        <v>0</v>
      </c>
      <c r="L481" s="39">
        <v>0</v>
      </c>
      <c r="M481" s="39">
        <v>0</v>
      </c>
      <c r="N481" s="39">
        <v>0</v>
      </c>
      <c r="O481" s="39">
        <v>1</v>
      </c>
      <c r="P481" s="39"/>
      <c r="Q481" s="39"/>
      <c r="R481" s="39"/>
      <c r="S481" s="39"/>
      <c r="T481" s="39"/>
      <c r="U481" s="39"/>
      <c r="V481" s="39"/>
      <c r="W481" s="39"/>
      <c r="X481" s="39"/>
    </row>
    <row r="482" spans="1:24" hidden="1" outlineLevel="1" x14ac:dyDescent="0.2">
      <c r="A482" s="5" t="s">
        <v>135</v>
      </c>
      <c r="B482" s="5" t="s">
        <v>165</v>
      </c>
      <c r="C482" s="5">
        <f>12</f>
        <v>12</v>
      </c>
      <c r="D482" s="1">
        <f>1</f>
        <v>1</v>
      </c>
      <c r="E482" s="5" t="s">
        <v>166</v>
      </c>
      <c r="F482" s="96"/>
      <c r="G482" s="7">
        <v>1</v>
      </c>
      <c r="H482" s="7">
        <v>0</v>
      </c>
      <c r="I482" s="39">
        <v>0</v>
      </c>
      <c r="J482" s="39">
        <v>1</v>
      </c>
      <c r="K482" s="39">
        <v>0</v>
      </c>
      <c r="L482" s="39">
        <v>0</v>
      </c>
      <c r="M482" s="39">
        <v>0</v>
      </c>
      <c r="N482" s="39">
        <v>0</v>
      </c>
      <c r="O482" s="39">
        <v>0</v>
      </c>
      <c r="P482" s="39"/>
      <c r="Q482" s="39"/>
      <c r="R482" s="39"/>
      <c r="S482" s="39"/>
      <c r="T482" s="39"/>
      <c r="U482" s="39"/>
      <c r="V482" s="39"/>
      <c r="W482" s="39"/>
      <c r="X482" s="39"/>
    </row>
    <row r="483" spans="1:24" hidden="1" outlineLevel="1" x14ac:dyDescent="0.2">
      <c r="A483" s="5" t="s">
        <v>136</v>
      </c>
      <c r="B483" s="5" t="s">
        <v>36</v>
      </c>
      <c r="C483" s="5"/>
      <c r="D483" s="2"/>
      <c r="E483" s="5" t="s">
        <v>167</v>
      </c>
      <c r="F483" s="98"/>
      <c r="G483" s="7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</row>
    <row r="484" spans="1:24" hidden="1" outlineLevel="1" x14ac:dyDescent="0.2">
      <c r="A484" s="5" t="s">
        <v>213</v>
      </c>
      <c r="B484" s="5" t="s">
        <v>45</v>
      </c>
      <c r="C484" s="5">
        <f>113</f>
        <v>113</v>
      </c>
      <c r="D484" s="1">
        <f>127</f>
        <v>127</v>
      </c>
      <c r="E484" s="5" t="s">
        <v>169</v>
      </c>
      <c r="F484" s="6"/>
      <c r="G484" s="7">
        <v>145</v>
      </c>
      <c r="H484" s="7">
        <v>128</v>
      </c>
      <c r="I484" s="39">
        <v>113</v>
      </c>
      <c r="J484" s="39">
        <v>91</v>
      </c>
      <c r="K484" s="39">
        <v>75</v>
      </c>
      <c r="L484" s="39">
        <v>120</v>
      </c>
      <c r="M484" s="39">
        <v>125</v>
      </c>
      <c r="N484" s="39">
        <v>134</v>
      </c>
      <c r="O484" s="39">
        <v>98</v>
      </c>
      <c r="P484" s="39">
        <v>30</v>
      </c>
      <c r="Q484" s="39"/>
      <c r="R484" s="39"/>
      <c r="S484" s="39"/>
      <c r="T484" s="39"/>
      <c r="U484" s="39"/>
      <c r="V484" s="39"/>
      <c r="W484" s="39"/>
      <c r="X484" s="39"/>
    </row>
    <row r="485" spans="1:24" hidden="1" outlineLevel="1" x14ac:dyDescent="0.2">
      <c r="A485" s="5" t="s">
        <v>214</v>
      </c>
      <c r="B485" s="5" t="s">
        <v>47</v>
      </c>
      <c r="C485" s="5">
        <f>30</f>
        <v>30</v>
      </c>
      <c r="D485" s="1">
        <f>6</f>
        <v>6</v>
      </c>
      <c r="E485" s="5" t="s">
        <v>171</v>
      </c>
      <c r="F485" s="6"/>
      <c r="G485" s="7">
        <v>2</v>
      </c>
      <c r="H485" s="7">
        <v>0</v>
      </c>
      <c r="I485" s="39">
        <v>0</v>
      </c>
      <c r="J485" s="39">
        <v>1</v>
      </c>
      <c r="K485" s="39">
        <v>7</v>
      </c>
      <c r="L485" s="39">
        <v>13</v>
      </c>
      <c r="M485" s="39">
        <v>17</v>
      </c>
      <c r="N485" s="39">
        <v>11</v>
      </c>
      <c r="O485" s="39">
        <v>11</v>
      </c>
      <c r="P485" s="39">
        <v>9</v>
      </c>
      <c r="Q485" s="39"/>
      <c r="R485" s="39"/>
      <c r="S485" s="39"/>
      <c r="T485" s="39"/>
      <c r="U485" s="39"/>
      <c r="V485" s="39"/>
      <c r="W485" s="39"/>
      <c r="X485" s="39"/>
    </row>
    <row r="486" spans="1:24" hidden="1" outlineLevel="1" x14ac:dyDescent="0.2">
      <c r="A486" s="5" t="s">
        <v>215</v>
      </c>
      <c r="B486" s="5" t="s">
        <v>50</v>
      </c>
      <c r="C486" s="5">
        <f>146</f>
        <v>146</v>
      </c>
      <c r="D486" s="1">
        <f>84</f>
        <v>84</v>
      </c>
      <c r="E486" s="5" t="s">
        <v>173</v>
      </c>
      <c r="F486" s="6"/>
      <c r="G486" s="7">
        <v>50</v>
      </c>
      <c r="H486" s="7">
        <v>25</v>
      </c>
      <c r="I486" s="39">
        <v>10</v>
      </c>
      <c r="J486" s="39">
        <v>3</v>
      </c>
      <c r="K486" s="39">
        <v>6</v>
      </c>
      <c r="L486" s="39">
        <v>6</v>
      </c>
      <c r="M486" s="39">
        <v>22</v>
      </c>
      <c r="N486" s="39">
        <v>31</v>
      </c>
      <c r="O486" s="39">
        <v>22</v>
      </c>
      <c r="P486" s="39">
        <v>0</v>
      </c>
      <c r="Q486" s="39"/>
      <c r="R486" s="39"/>
      <c r="S486" s="39"/>
      <c r="T486" s="39"/>
      <c r="U486" s="39"/>
      <c r="V486" s="39"/>
      <c r="W486" s="39"/>
      <c r="X486" s="39"/>
    </row>
    <row r="487" spans="1:24" hidden="1" outlineLevel="1" x14ac:dyDescent="0.2">
      <c r="A487" s="5" t="s">
        <v>138</v>
      </c>
      <c r="B487" s="5" t="s">
        <v>174</v>
      </c>
      <c r="C487" s="7">
        <f>2165</f>
        <v>2165</v>
      </c>
      <c r="D487" s="1">
        <f>2202</f>
        <v>2202</v>
      </c>
      <c r="E487" s="5" t="s">
        <v>175</v>
      </c>
      <c r="F487" s="6"/>
      <c r="G487" s="7">
        <v>2245</v>
      </c>
      <c r="H487" s="7">
        <v>2171</v>
      </c>
      <c r="I487" s="39">
        <v>2259</v>
      </c>
      <c r="J487" s="39">
        <v>2294</v>
      </c>
      <c r="K487" s="39">
        <v>2232</v>
      </c>
      <c r="L487" s="39">
        <v>2148</v>
      </c>
      <c r="M487" s="39">
        <v>2003</v>
      </c>
      <c r="N487" s="39">
        <v>1961</v>
      </c>
      <c r="O487" s="39">
        <v>2002</v>
      </c>
      <c r="P487" s="39">
        <v>2026</v>
      </c>
      <c r="Q487" s="39"/>
      <c r="R487" s="39"/>
      <c r="S487" s="39"/>
      <c r="T487" s="39"/>
      <c r="U487" s="39"/>
      <c r="V487" s="39"/>
      <c r="W487" s="39"/>
      <c r="X487" s="39"/>
    </row>
    <row r="488" spans="1:24" hidden="1" outlineLevel="1" x14ac:dyDescent="0.2">
      <c r="A488" s="5"/>
      <c r="B488" s="5"/>
      <c r="C488" s="7"/>
      <c r="D488" s="1"/>
      <c r="E488" s="5"/>
      <c r="F488" s="6"/>
      <c r="G488" s="7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</row>
    <row r="489" spans="1:24" collapsed="1" x14ac:dyDescent="0.2">
      <c r="A489" s="5"/>
      <c r="B489" s="5"/>
      <c r="C489" s="5"/>
      <c r="D489" s="2"/>
      <c r="E489" s="5" t="s">
        <v>176</v>
      </c>
      <c r="F489" s="6"/>
      <c r="G489" s="7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</row>
    <row r="490" spans="1:24" x14ac:dyDescent="0.2">
      <c r="A490" s="5" t="s">
        <v>88</v>
      </c>
      <c r="B490" s="5" t="s">
        <v>56</v>
      </c>
      <c r="C490" s="5"/>
      <c r="D490" s="2"/>
      <c r="E490" s="5" t="s">
        <v>177</v>
      </c>
      <c r="F490" s="98"/>
      <c r="G490" s="7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</row>
    <row r="491" spans="1:24" x14ac:dyDescent="0.2">
      <c r="A491" s="5"/>
      <c r="B491" s="5" t="s">
        <v>57</v>
      </c>
      <c r="C491" s="5">
        <f>7.9</f>
        <v>7.9</v>
      </c>
      <c r="D491" s="33">
        <v>8.1</v>
      </c>
      <c r="E491" s="92"/>
      <c r="F491" s="6"/>
      <c r="G491" s="24">
        <v>8.3000000000000007</v>
      </c>
      <c r="H491" s="24">
        <v>8.4</v>
      </c>
      <c r="I491" s="40">
        <v>9.1</v>
      </c>
      <c r="J491" s="40">
        <v>9.9</v>
      </c>
      <c r="K491" s="40">
        <v>10.8</v>
      </c>
      <c r="L491" s="40">
        <v>11.1</v>
      </c>
      <c r="M491" s="40">
        <v>10.4</v>
      </c>
      <c r="N491" s="40">
        <v>10.6</v>
      </c>
      <c r="O491" s="40">
        <v>10.3</v>
      </c>
      <c r="P491" s="40">
        <v>8.9</v>
      </c>
      <c r="Q491" s="40">
        <v>9.3000000000000007</v>
      </c>
      <c r="R491" s="40">
        <v>7.8</v>
      </c>
      <c r="S491" s="40">
        <v>8.8000000000000007</v>
      </c>
      <c r="T491" s="40">
        <v>9.5</v>
      </c>
      <c r="U491" s="40">
        <v>10.7</v>
      </c>
      <c r="V491" s="40">
        <v>11.4</v>
      </c>
      <c r="W491" s="40">
        <v>11.9</v>
      </c>
      <c r="X491" s="40">
        <v>12.8</v>
      </c>
    </row>
    <row r="492" spans="1:24" x14ac:dyDescent="0.2">
      <c r="A492" s="5"/>
      <c r="B492" s="5"/>
      <c r="C492" s="5"/>
      <c r="D492" s="2"/>
      <c r="E492" s="92"/>
      <c r="F492" s="6"/>
      <c r="G492" s="7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</row>
    <row r="493" spans="1:24" x14ac:dyDescent="0.2">
      <c r="A493" s="6" t="s">
        <v>337</v>
      </c>
      <c r="B493" s="6" t="s">
        <v>183</v>
      </c>
      <c r="C493" s="5"/>
      <c r="D493" s="2"/>
      <c r="E493" s="92"/>
      <c r="F493" s="6"/>
      <c r="G493" s="7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>
        <f>11+214+1498</f>
        <v>1723</v>
      </c>
      <c r="U493" s="39">
        <f>8+131+1342</f>
        <v>1481</v>
      </c>
      <c r="V493" s="39">
        <f>4+22+82+1+1474</f>
        <v>1583</v>
      </c>
      <c r="W493" s="39">
        <f>14+38+114+0+1218</f>
        <v>1384</v>
      </c>
      <c r="X493" s="39">
        <f>0+3+67+81+0+0+1161</f>
        <v>1312</v>
      </c>
    </row>
    <row r="494" spans="1:24" hidden="1" outlineLevel="1" x14ac:dyDescent="0.2">
      <c r="A494" s="6" t="s">
        <v>337</v>
      </c>
      <c r="B494" s="6" t="s">
        <v>542</v>
      </c>
      <c r="C494" s="5"/>
      <c r="D494" s="2"/>
      <c r="E494" s="92"/>
      <c r="F494" s="6"/>
      <c r="G494" s="7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</row>
    <row r="495" spans="1:24" hidden="1" outlineLevel="1" x14ac:dyDescent="0.2">
      <c r="A495" s="5" t="s">
        <v>4</v>
      </c>
      <c r="B495" s="5" t="s">
        <v>503</v>
      </c>
      <c r="C495" s="7">
        <f>1551</f>
        <v>1551</v>
      </c>
      <c r="D495" s="1">
        <f>1303</f>
        <v>1303</v>
      </c>
      <c r="E495" s="7">
        <v>1266</v>
      </c>
      <c r="F495" s="29" t="s">
        <v>7</v>
      </c>
      <c r="G495" s="7">
        <v>1240</v>
      </c>
      <c r="H495" s="7">
        <v>1254</v>
      </c>
      <c r="I495" s="39">
        <v>1484</v>
      </c>
      <c r="J495" s="39">
        <v>1746</v>
      </c>
      <c r="K495" s="39">
        <v>1672</v>
      </c>
      <c r="L495" s="39">
        <v>1467</v>
      </c>
      <c r="M495" s="39">
        <v>1558</v>
      </c>
      <c r="N495" s="39">
        <v>1188</v>
      </c>
      <c r="O495" s="39">
        <v>1431</v>
      </c>
      <c r="P495" s="39">
        <v>1504</v>
      </c>
      <c r="Q495" s="39">
        <v>1503</v>
      </c>
      <c r="R495" s="39">
        <v>1703</v>
      </c>
      <c r="S495" s="39">
        <v>1642</v>
      </c>
      <c r="T495" s="39">
        <f>T500+T502</f>
        <v>1723</v>
      </c>
      <c r="U495" s="39">
        <f>U500+U502</f>
        <v>1481</v>
      </c>
      <c r="V495" s="39">
        <f>V500+V502</f>
        <v>1560</v>
      </c>
      <c r="W495" s="39"/>
      <c r="X495" s="39"/>
    </row>
    <row r="496" spans="1:24" hidden="1" outlineLevel="1" x14ac:dyDescent="0.2">
      <c r="A496" s="5"/>
      <c r="B496" s="5" t="s">
        <v>96</v>
      </c>
      <c r="C496" s="5"/>
      <c r="D496" s="2"/>
      <c r="E496" s="5"/>
      <c r="F496" s="6"/>
      <c r="G496" s="7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</row>
    <row r="497" spans="1:24" hidden="1" outlineLevel="1" x14ac:dyDescent="0.2">
      <c r="A497" s="5" t="s">
        <v>5</v>
      </c>
      <c r="B497" s="5" t="s">
        <v>504</v>
      </c>
      <c r="C497" s="5"/>
      <c r="D497" s="2"/>
      <c r="E497" s="5"/>
      <c r="F497" s="6"/>
      <c r="G497" s="7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</row>
    <row r="498" spans="1:24" hidden="1" outlineLevel="1" x14ac:dyDescent="0.2">
      <c r="A498" s="5"/>
      <c r="B498" s="5" t="s">
        <v>505</v>
      </c>
      <c r="C498" s="5"/>
      <c r="D498" s="2"/>
      <c r="E498" s="5"/>
      <c r="F498" s="6"/>
      <c r="G498" s="7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</row>
    <row r="499" spans="1:24" hidden="1" outlineLevel="1" x14ac:dyDescent="0.2">
      <c r="A499" s="5"/>
      <c r="B499" s="5" t="s">
        <v>506</v>
      </c>
      <c r="C499" s="5"/>
      <c r="D499" s="2"/>
      <c r="E499" s="5"/>
      <c r="F499" s="6"/>
      <c r="G499" s="7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</row>
    <row r="500" spans="1:24" hidden="1" outlineLevel="1" x14ac:dyDescent="0.2">
      <c r="A500" s="5"/>
      <c r="B500" s="5" t="s">
        <v>507</v>
      </c>
      <c r="C500" s="5">
        <f>83</f>
        <v>83</v>
      </c>
      <c r="D500" s="1">
        <f>138</f>
        <v>138</v>
      </c>
      <c r="E500" s="5">
        <v>112</v>
      </c>
      <c r="F500" s="29" t="s">
        <v>7</v>
      </c>
      <c r="G500" s="7">
        <v>116</v>
      </c>
      <c r="H500" s="7">
        <v>158</v>
      </c>
      <c r="I500" s="39">
        <v>110</v>
      </c>
      <c r="J500" s="39">
        <v>189</v>
      </c>
      <c r="K500" s="39">
        <f>3+8+153</f>
        <v>164</v>
      </c>
      <c r="L500" s="39">
        <v>162</v>
      </c>
      <c r="M500" s="39">
        <f>3+10+156</f>
        <v>169</v>
      </c>
      <c r="N500" s="39">
        <f>6+12+129</f>
        <v>147</v>
      </c>
      <c r="O500" s="39">
        <f>1+8+152</f>
        <v>161</v>
      </c>
      <c r="P500" s="39">
        <f>0+12+118</f>
        <v>130</v>
      </c>
      <c r="Q500" s="39">
        <f>0+6+143</f>
        <v>149</v>
      </c>
      <c r="R500" s="39">
        <f>1+10+169</f>
        <v>180</v>
      </c>
      <c r="S500" s="39">
        <f>SUM(149+8)</f>
        <v>157</v>
      </c>
      <c r="T500" s="39">
        <f>0+11+214</f>
        <v>225</v>
      </c>
      <c r="U500" s="39">
        <f>0+8+131</f>
        <v>139</v>
      </c>
      <c r="V500" s="39">
        <f>0+4+82</f>
        <v>86</v>
      </c>
      <c r="W500" s="39"/>
      <c r="X500" s="39"/>
    </row>
    <row r="501" spans="1:24" hidden="1" outlineLevel="1" x14ac:dyDescent="0.2">
      <c r="A501" s="5"/>
      <c r="B501" s="5"/>
      <c r="C501" s="5"/>
      <c r="D501" s="1"/>
      <c r="E501" s="5"/>
      <c r="F501" s="29"/>
      <c r="G501" s="7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</row>
    <row r="502" spans="1:24" hidden="1" outlineLevel="1" x14ac:dyDescent="0.2">
      <c r="A502" s="5" t="s">
        <v>8</v>
      </c>
      <c r="B502" s="5" t="s">
        <v>522</v>
      </c>
      <c r="C502" s="7">
        <f>1468</f>
        <v>1468</v>
      </c>
      <c r="D502" s="1">
        <f>1165</f>
        <v>1165</v>
      </c>
      <c r="E502" s="5">
        <v>1154</v>
      </c>
      <c r="F502" s="29" t="s">
        <v>7</v>
      </c>
      <c r="G502" s="7">
        <v>1124</v>
      </c>
      <c r="H502" s="7">
        <v>1096</v>
      </c>
      <c r="I502" s="39">
        <v>1374</v>
      </c>
      <c r="J502" s="39">
        <v>1557</v>
      </c>
      <c r="K502" s="39">
        <v>1508</v>
      </c>
      <c r="L502" s="39">
        <v>1299</v>
      </c>
      <c r="M502" s="39">
        <v>1389</v>
      </c>
      <c r="N502" s="39">
        <v>1041</v>
      </c>
      <c r="O502" s="39">
        <v>1270</v>
      </c>
      <c r="P502" s="39">
        <v>1374</v>
      </c>
      <c r="Q502" s="39">
        <v>1354</v>
      </c>
      <c r="R502" s="39">
        <v>1523</v>
      </c>
      <c r="S502" s="39">
        <v>1485</v>
      </c>
      <c r="T502" s="39">
        <v>1498</v>
      </c>
      <c r="U502" s="39">
        <v>1342</v>
      </c>
      <c r="V502" s="39">
        <v>1474</v>
      </c>
      <c r="W502" s="39"/>
      <c r="X502" s="39"/>
    </row>
    <row r="503" spans="1:24" collapsed="1" x14ac:dyDescent="0.2">
      <c r="A503" s="5"/>
      <c r="B503" s="5"/>
      <c r="C503" s="7"/>
      <c r="D503" s="1"/>
      <c r="E503" s="5"/>
      <c r="F503" s="29"/>
      <c r="G503" s="7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</row>
    <row r="504" spans="1:24" hidden="1" outlineLevel="1" x14ac:dyDescent="0.2">
      <c r="A504" s="5"/>
      <c r="B504" s="5"/>
      <c r="C504" s="5"/>
      <c r="D504" s="2"/>
      <c r="E504" s="5"/>
      <c r="F504" s="29"/>
      <c r="G504" s="7"/>
      <c r="I504" s="39"/>
      <c r="J504" s="39"/>
      <c r="K504" s="39"/>
      <c r="L504" s="39"/>
      <c r="M504" s="39"/>
      <c r="N504" s="39"/>
      <c r="O504" s="39"/>
      <c r="P504" s="39"/>
      <c r="Q504" s="39"/>
      <c r="R504" s="38">
        <v>2006</v>
      </c>
      <c r="S504" s="38">
        <v>2007</v>
      </c>
      <c r="T504" s="38">
        <v>2008</v>
      </c>
      <c r="U504" s="38">
        <v>2009</v>
      </c>
      <c r="V504" s="38">
        <v>2010</v>
      </c>
    </row>
    <row r="505" spans="1:24" collapsed="1" x14ac:dyDescent="0.2">
      <c r="A505" s="6" t="s">
        <v>338</v>
      </c>
      <c r="B505" s="6" t="s">
        <v>543</v>
      </c>
      <c r="C505" s="5"/>
      <c r="D505" s="2"/>
      <c r="E505" s="5"/>
      <c r="F505" s="6"/>
      <c r="G505" s="7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</row>
    <row r="506" spans="1:24" hidden="1" outlineLevel="1" x14ac:dyDescent="0.2">
      <c r="A506" s="32" t="s">
        <v>4</v>
      </c>
      <c r="B506" s="5" t="s">
        <v>656</v>
      </c>
      <c r="C506" s="5"/>
      <c r="D506" s="2"/>
      <c r="E506" s="5"/>
      <c r="F506" s="6"/>
      <c r="G506" s="7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</row>
    <row r="507" spans="1:24" hidden="1" outlineLevel="1" x14ac:dyDescent="0.2">
      <c r="A507" s="32" t="s">
        <v>5</v>
      </c>
      <c r="B507" s="5" t="s">
        <v>61</v>
      </c>
      <c r="C507" s="5">
        <f>620</f>
        <v>620</v>
      </c>
      <c r="D507" s="2">
        <f>477-34</f>
        <v>443</v>
      </c>
      <c r="E507" s="5">
        <v>494</v>
      </c>
      <c r="F507" s="6"/>
      <c r="G507" s="7">
        <v>438</v>
      </c>
      <c r="H507" s="7">
        <v>448</v>
      </c>
      <c r="I507" s="39">
        <v>520</v>
      </c>
      <c r="J507" s="39">
        <v>583</v>
      </c>
      <c r="K507" s="39">
        <v>499</v>
      </c>
      <c r="L507" s="39">
        <v>476</v>
      </c>
      <c r="M507" s="39">
        <v>447</v>
      </c>
      <c r="N507" s="39">
        <v>462</v>
      </c>
      <c r="O507" s="39">
        <v>467</v>
      </c>
      <c r="P507" s="39">
        <v>515</v>
      </c>
      <c r="Q507" s="39">
        <v>471</v>
      </c>
      <c r="R507" s="39">
        <v>504</v>
      </c>
      <c r="S507" s="39">
        <v>533</v>
      </c>
      <c r="T507" s="39">
        <v>504</v>
      </c>
      <c r="U507" s="39">
        <f>U511+U515</f>
        <v>543</v>
      </c>
    </row>
    <row r="508" spans="1:24" hidden="1" outlineLevel="1" x14ac:dyDescent="0.2">
      <c r="A508" s="32" t="s">
        <v>8</v>
      </c>
      <c r="B508" s="5" t="s">
        <v>9</v>
      </c>
      <c r="C508" s="5">
        <f>585</f>
        <v>585</v>
      </c>
      <c r="D508" s="2">
        <f>434</f>
        <v>434</v>
      </c>
      <c r="E508" s="5">
        <v>468</v>
      </c>
      <c r="F508" s="6"/>
      <c r="G508" s="7">
        <v>439</v>
      </c>
      <c r="H508" s="7">
        <v>498</v>
      </c>
      <c r="I508" s="39">
        <v>448</v>
      </c>
      <c r="J508" s="39">
        <v>405</v>
      </c>
      <c r="K508" s="39">
        <v>514</v>
      </c>
      <c r="L508" s="39">
        <v>443</v>
      </c>
      <c r="M508" s="39">
        <v>461</v>
      </c>
      <c r="N508" s="39">
        <v>475</v>
      </c>
      <c r="O508" s="39">
        <v>469</v>
      </c>
      <c r="P508" s="39">
        <v>531</v>
      </c>
      <c r="Q508" s="39">
        <v>492</v>
      </c>
      <c r="R508" s="39">
        <v>505</v>
      </c>
      <c r="S508" s="39">
        <v>509</v>
      </c>
      <c r="T508" s="39">
        <v>519</v>
      </c>
      <c r="U508" s="39">
        <f>U512+U516</f>
        <v>447</v>
      </c>
    </row>
    <row r="509" spans="1:24" hidden="1" outlineLevel="1" x14ac:dyDescent="0.2">
      <c r="A509" s="32" t="s">
        <v>10</v>
      </c>
      <c r="B509" s="5" t="s">
        <v>64</v>
      </c>
      <c r="C509" s="5">
        <f>443</f>
        <v>443</v>
      </c>
      <c r="D509" s="2">
        <f>349</f>
        <v>349</v>
      </c>
      <c r="E509" s="5">
        <v>375</v>
      </c>
      <c r="F509" s="6"/>
      <c r="G509" s="7">
        <v>374</v>
      </c>
      <c r="H509" s="7">
        <v>313</v>
      </c>
      <c r="I509" s="39">
        <v>251</v>
      </c>
      <c r="J509" s="39">
        <v>429</v>
      </c>
      <c r="K509" s="39">
        <v>415</v>
      </c>
      <c r="L509" s="39">
        <v>433</v>
      </c>
      <c r="M509" s="39">
        <v>411</v>
      </c>
      <c r="N509" s="39">
        <v>398</v>
      </c>
      <c r="O509" s="39">
        <v>384</v>
      </c>
      <c r="P509" s="39">
        <v>368</v>
      </c>
      <c r="Q509" s="39">
        <v>347</v>
      </c>
      <c r="R509" s="39">
        <v>331</v>
      </c>
      <c r="S509" s="39">
        <v>355</v>
      </c>
      <c r="T509" s="39">
        <v>340</v>
      </c>
      <c r="U509" s="39">
        <f>U517</f>
        <v>436</v>
      </c>
    </row>
    <row r="510" spans="1:24" hidden="1" outlineLevel="1" x14ac:dyDescent="0.2">
      <c r="A510" s="32" t="s">
        <v>59</v>
      </c>
      <c r="B510" s="5" t="s">
        <v>633</v>
      </c>
      <c r="C510" s="5"/>
      <c r="D510" s="2"/>
      <c r="E510" s="5"/>
      <c r="F510" s="6"/>
      <c r="G510" s="7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</row>
    <row r="511" spans="1:24" hidden="1" outlineLevel="1" x14ac:dyDescent="0.2">
      <c r="A511" s="32" t="s">
        <v>60</v>
      </c>
      <c r="B511" s="5" t="s">
        <v>61</v>
      </c>
      <c r="C511" s="5"/>
      <c r="D511" s="2"/>
      <c r="E511" s="5"/>
      <c r="F511" s="6"/>
      <c r="G511" s="7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>
        <v>386</v>
      </c>
    </row>
    <row r="512" spans="1:24" hidden="1" outlineLevel="1" x14ac:dyDescent="0.2">
      <c r="A512" s="32" t="s">
        <v>62</v>
      </c>
      <c r="B512" s="5" t="s">
        <v>9</v>
      </c>
      <c r="C512" s="5"/>
      <c r="D512" s="2"/>
      <c r="E512" s="5"/>
      <c r="F512" s="6"/>
      <c r="G512" s="7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>
        <v>314</v>
      </c>
    </row>
    <row r="513" spans="1:24" hidden="1" outlineLevel="1" x14ac:dyDescent="0.2">
      <c r="A513" s="32" t="s">
        <v>63</v>
      </c>
      <c r="B513" s="5" t="s">
        <v>657</v>
      </c>
      <c r="C513" s="5"/>
      <c r="D513" s="2"/>
      <c r="E513" s="5"/>
      <c r="F513" s="6"/>
      <c r="G513" s="7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>
        <v>412</v>
      </c>
    </row>
    <row r="514" spans="1:24" hidden="1" outlineLevel="1" x14ac:dyDescent="0.2">
      <c r="A514" s="32" t="s">
        <v>80</v>
      </c>
      <c r="B514" s="5" t="s">
        <v>638</v>
      </c>
      <c r="C514" s="5"/>
      <c r="D514" s="2"/>
      <c r="E514" s="5"/>
      <c r="F514" s="6"/>
      <c r="G514" s="7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</row>
    <row r="515" spans="1:24" hidden="1" outlineLevel="1" x14ac:dyDescent="0.2">
      <c r="A515" s="32" t="s">
        <v>255</v>
      </c>
      <c r="B515" s="5" t="s">
        <v>61</v>
      </c>
      <c r="C515" s="5"/>
      <c r="D515" s="2"/>
      <c r="E515" s="5"/>
      <c r="F515" s="6"/>
      <c r="G515" s="7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>
        <v>157</v>
      </c>
    </row>
    <row r="516" spans="1:24" hidden="1" outlineLevel="1" x14ac:dyDescent="0.2">
      <c r="A516" s="32" t="s">
        <v>256</v>
      </c>
      <c r="B516" s="5" t="s">
        <v>9</v>
      </c>
      <c r="C516" s="5"/>
      <c r="D516" s="2"/>
      <c r="E516" s="5"/>
      <c r="F516" s="6"/>
      <c r="G516" s="7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>
        <v>133</v>
      </c>
    </row>
    <row r="517" spans="1:24" hidden="1" outlineLevel="1" x14ac:dyDescent="0.2">
      <c r="A517" s="32" t="s">
        <v>257</v>
      </c>
      <c r="B517" s="5" t="s">
        <v>658</v>
      </c>
      <c r="C517" s="5"/>
      <c r="D517" s="2"/>
      <c r="E517" s="5"/>
      <c r="F517" s="6"/>
      <c r="G517" s="7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>
        <v>436</v>
      </c>
    </row>
    <row r="518" spans="1:24" collapsed="1" x14ac:dyDescent="0.2">
      <c r="A518" s="32" t="s">
        <v>4</v>
      </c>
      <c r="B518" s="5" t="s">
        <v>61</v>
      </c>
      <c r="C518" s="5">
        <f>620</f>
        <v>620</v>
      </c>
      <c r="D518" s="2">
        <f>477-34</f>
        <v>443</v>
      </c>
      <c r="E518" s="5">
        <v>494</v>
      </c>
      <c r="F518" s="6"/>
      <c r="G518" s="7">
        <v>438</v>
      </c>
      <c r="H518" s="7">
        <v>448</v>
      </c>
      <c r="I518" s="39">
        <v>520</v>
      </c>
      <c r="J518" s="39">
        <v>583</v>
      </c>
      <c r="K518" s="39">
        <v>499</v>
      </c>
      <c r="L518" s="39">
        <v>476</v>
      </c>
      <c r="M518" s="39">
        <v>447</v>
      </c>
      <c r="N518" s="39">
        <v>462</v>
      </c>
      <c r="O518" s="39">
        <v>467</v>
      </c>
      <c r="P518" s="39">
        <v>515</v>
      </c>
      <c r="Q518" s="39">
        <v>471</v>
      </c>
      <c r="R518" s="39">
        <v>504</v>
      </c>
      <c r="S518" s="39">
        <v>533</v>
      </c>
      <c r="T518" s="39">
        <v>504</v>
      </c>
      <c r="U518" s="39">
        <v>543</v>
      </c>
      <c r="V518" s="39">
        <v>662</v>
      </c>
      <c r="W518" s="39">
        <v>901</v>
      </c>
      <c r="X518" s="39">
        <v>788</v>
      </c>
    </row>
    <row r="519" spans="1:24" x14ac:dyDescent="0.2">
      <c r="A519" s="32" t="s">
        <v>59</v>
      </c>
      <c r="B519" s="5" t="s">
        <v>9</v>
      </c>
      <c r="C519" s="5">
        <f>585</f>
        <v>585</v>
      </c>
      <c r="D519" s="2">
        <f>434</f>
        <v>434</v>
      </c>
      <c r="E519" s="5">
        <v>468</v>
      </c>
      <c r="F519" s="6"/>
      <c r="G519" s="7">
        <v>439</v>
      </c>
      <c r="H519" s="7">
        <v>498</v>
      </c>
      <c r="I519" s="39">
        <v>448</v>
      </c>
      <c r="J519" s="39">
        <v>405</v>
      </c>
      <c r="K519" s="39">
        <v>514</v>
      </c>
      <c r="L519" s="39">
        <v>443</v>
      </c>
      <c r="M519" s="39">
        <v>461</v>
      </c>
      <c r="N519" s="39">
        <v>475</v>
      </c>
      <c r="O519" s="39">
        <v>469</v>
      </c>
      <c r="P519" s="39">
        <v>531</v>
      </c>
      <c r="Q519" s="39">
        <v>492</v>
      </c>
      <c r="R519" s="39">
        <v>505</v>
      </c>
      <c r="S519" s="39">
        <v>509</v>
      </c>
      <c r="T519" s="39">
        <v>519</v>
      </c>
      <c r="U519" s="39">
        <v>447</v>
      </c>
      <c r="V519" s="39">
        <v>624</v>
      </c>
      <c r="W519" s="39">
        <v>765</v>
      </c>
      <c r="X519" s="39">
        <v>806</v>
      </c>
    </row>
    <row r="520" spans="1:24" x14ac:dyDescent="0.2">
      <c r="A520" s="32" t="s">
        <v>80</v>
      </c>
      <c r="B520" s="5" t="s">
        <v>64</v>
      </c>
      <c r="C520" s="5">
        <f>443</f>
        <v>443</v>
      </c>
      <c r="D520" s="2">
        <f>349</f>
        <v>349</v>
      </c>
      <c r="E520" s="5">
        <v>375</v>
      </c>
      <c r="F520" s="6"/>
      <c r="G520" s="7">
        <v>374</v>
      </c>
      <c r="H520" s="7">
        <v>313</v>
      </c>
      <c r="I520" s="39">
        <v>251</v>
      </c>
      <c r="J520" s="39">
        <v>429</v>
      </c>
      <c r="K520" s="39">
        <v>415</v>
      </c>
      <c r="L520" s="39">
        <v>433</v>
      </c>
      <c r="M520" s="39">
        <v>411</v>
      </c>
      <c r="N520" s="39">
        <v>398</v>
      </c>
      <c r="O520" s="39">
        <v>384</v>
      </c>
      <c r="P520" s="39">
        <v>368</v>
      </c>
      <c r="Q520" s="39">
        <v>347</v>
      </c>
      <c r="R520" s="39">
        <v>331</v>
      </c>
      <c r="S520" s="39">
        <v>355</v>
      </c>
      <c r="T520" s="39">
        <v>340</v>
      </c>
      <c r="U520" s="39">
        <v>436</v>
      </c>
      <c r="V520" s="39">
        <v>485</v>
      </c>
      <c r="W520" s="39">
        <v>581</v>
      </c>
      <c r="X520" s="39">
        <v>563</v>
      </c>
    </row>
    <row r="521" spans="1:24" hidden="1" outlineLevel="1" x14ac:dyDescent="0.2">
      <c r="A521" s="32"/>
      <c r="B521" s="5"/>
      <c r="C521" s="5"/>
      <c r="D521" s="2"/>
      <c r="E521" s="5"/>
      <c r="F521" s="6"/>
      <c r="G521" s="7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</row>
    <row r="522" spans="1:24" hidden="1" outlineLevel="1" x14ac:dyDescent="0.2">
      <c r="A522" s="32" t="s">
        <v>82</v>
      </c>
      <c r="B522" s="5" t="s">
        <v>678</v>
      </c>
      <c r="C522" s="5"/>
      <c r="D522" s="2"/>
      <c r="E522" s="5"/>
      <c r="F522" s="6"/>
      <c r="G522" s="7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</row>
    <row r="523" spans="1:24" hidden="1" outlineLevel="2" x14ac:dyDescent="0.2">
      <c r="A523" s="32" t="s">
        <v>590</v>
      </c>
      <c r="B523" s="5" t="s">
        <v>526</v>
      </c>
      <c r="C523" s="5">
        <f>26</f>
        <v>26</v>
      </c>
      <c r="D523" s="2">
        <f>12</f>
        <v>12</v>
      </c>
      <c r="E523" s="5">
        <v>11</v>
      </c>
      <c r="F523" s="6"/>
      <c r="G523" s="7">
        <v>9</v>
      </c>
      <c r="H523" s="7">
        <v>11</v>
      </c>
      <c r="I523" s="39">
        <v>10</v>
      </c>
      <c r="J523" s="39">
        <v>10</v>
      </c>
      <c r="K523" s="39">
        <v>1</v>
      </c>
      <c r="L523" s="39">
        <v>3</v>
      </c>
      <c r="M523" s="39">
        <v>5</v>
      </c>
      <c r="N523" s="39">
        <v>5</v>
      </c>
      <c r="O523" s="39">
        <v>6</v>
      </c>
      <c r="P523" s="39">
        <v>4</v>
      </c>
      <c r="Q523" s="39">
        <v>5</v>
      </c>
      <c r="R523" s="39" t="s">
        <v>329</v>
      </c>
      <c r="S523" s="39" t="s">
        <v>329</v>
      </c>
      <c r="T523" s="39" t="s">
        <v>329</v>
      </c>
      <c r="U523" s="39"/>
    </row>
    <row r="524" spans="1:24" hidden="1" outlineLevel="2" x14ac:dyDescent="0.2">
      <c r="A524" s="32" t="s">
        <v>523</v>
      </c>
      <c r="B524" s="5" t="s">
        <v>387</v>
      </c>
      <c r="C524" s="5">
        <f>8</f>
        <v>8</v>
      </c>
      <c r="D524" s="2">
        <f>1</f>
        <v>1</v>
      </c>
      <c r="E524" s="5">
        <v>0</v>
      </c>
      <c r="F524" s="6"/>
      <c r="G524" s="7">
        <v>2</v>
      </c>
      <c r="H524" s="7">
        <v>1</v>
      </c>
      <c r="I524" s="39">
        <v>8</v>
      </c>
      <c r="J524" s="39">
        <v>13</v>
      </c>
      <c r="K524" s="39">
        <v>25</v>
      </c>
      <c r="L524" s="39">
        <v>3</v>
      </c>
      <c r="M524" s="39">
        <v>1</v>
      </c>
      <c r="N524" s="39">
        <v>0</v>
      </c>
      <c r="O524" s="39">
        <v>10</v>
      </c>
      <c r="P524" s="39">
        <v>6</v>
      </c>
      <c r="Q524" s="39">
        <v>1</v>
      </c>
      <c r="R524" s="39" t="s">
        <v>329</v>
      </c>
      <c r="S524" s="39" t="s">
        <v>329</v>
      </c>
      <c r="T524" s="39" t="s">
        <v>329</v>
      </c>
      <c r="U524" s="39"/>
    </row>
    <row r="525" spans="1:24" hidden="1" outlineLevel="2" x14ac:dyDescent="0.2">
      <c r="A525" s="32" t="s">
        <v>524</v>
      </c>
      <c r="B525" s="5" t="s">
        <v>527</v>
      </c>
      <c r="C525" s="5"/>
      <c r="D525" s="2"/>
      <c r="E525" s="5"/>
      <c r="F525" s="6"/>
      <c r="G525" s="7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</row>
    <row r="526" spans="1:24" hidden="1" outlineLevel="2" x14ac:dyDescent="0.2">
      <c r="A526" s="32"/>
      <c r="B526" s="5" t="s">
        <v>528</v>
      </c>
      <c r="C526" s="5">
        <f>537</f>
        <v>537</v>
      </c>
      <c r="D526" s="2">
        <f>420</f>
        <v>420</v>
      </c>
      <c r="E526" s="5">
        <v>456</v>
      </c>
      <c r="F526" s="6"/>
      <c r="G526" s="7">
        <v>428</v>
      </c>
      <c r="H526" s="7">
        <v>476</v>
      </c>
      <c r="I526" s="39">
        <v>429</v>
      </c>
      <c r="J526" s="39">
        <v>378</v>
      </c>
      <c r="K526" s="39">
        <v>487</v>
      </c>
      <c r="L526" s="39">
        <v>435</v>
      </c>
      <c r="M526" s="39">
        <v>453</v>
      </c>
      <c r="N526" s="39">
        <v>470</v>
      </c>
      <c r="O526" s="39">
        <v>453</v>
      </c>
      <c r="P526" s="39">
        <v>519</v>
      </c>
      <c r="Q526" s="39">
        <v>484</v>
      </c>
      <c r="R526" s="39" t="s">
        <v>329</v>
      </c>
      <c r="S526" s="39" t="s">
        <v>329</v>
      </c>
      <c r="T526" s="39" t="s">
        <v>329</v>
      </c>
      <c r="U526" s="39"/>
    </row>
    <row r="527" spans="1:24" hidden="1" outlineLevel="2" x14ac:dyDescent="0.2">
      <c r="A527" s="32" t="s">
        <v>525</v>
      </c>
      <c r="B527" s="5" t="s">
        <v>390</v>
      </c>
      <c r="C527" s="5">
        <f>14</f>
        <v>14</v>
      </c>
      <c r="D527" s="2">
        <f>1</f>
        <v>1</v>
      </c>
      <c r="E527" s="5">
        <v>1</v>
      </c>
      <c r="F527" s="6"/>
      <c r="G527" s="7">
        <v>0</v>
      </c>
      <c r="H527" s="7">
        <v>6</v>
      </c>
      <c r="I527" s="39">
        <v>1</v>
      </c>
      <c r="J527" s="39">
        <v>4</v>
      </c>
      <c r="K527" s="39">
        <v>1</v>
      </c>
      <c r="L527" s="39">
        <v>2</v>
      </c>
      <c r="M527" s="39">
        <v>1</v>
      </c>
      <c r="N527" s="39">
        <v>0</v>
      </c>
      <c r="O527" s="39">
        <v>0</v>
      </c>
      <c r="P527" s="39">
        <v>2</v>
      </c>
      <c r="Q527" s="39">
        <v>2</v>
      </c>
      <c r="R527" s="39" t="s">
        <v>329</v>
      </c>
      <c r="S527" s="39" t="s">
        <v>329</v>
      </c>
      <c r="T527" s="39" t="s">
        <v>329</v>
      </c>
      <c r="U527" s="39"/>
    </row>
    <row r="528" spans="1:24" hidden="1" outlineLevel="1" collapsed="1" x14ac:dyDescent="0.2">
      <c r="A528" s="54" t="s">
        <v>84</v>
      </c>
      <c r="B528" s="78" t="s">
        <v>529</v>
      </c>
      <c r="C528" s="78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39"/>
      <c r="S528" s="39"/>
      <c r="T528" s="39"/>
      <c r="U528" s="39"/>
    </row>
    <row r="529" spans="1:22" hidden="1" outlineLevel="1" x14ac:dyDescent="0.2">
      <c r="A529" s="54"/>
      <c r="B529" s="78" t="s">
        <v>604</v>
      </c>
      <c r="C529" s="78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9"/>
      <c r="R529" s="59">
        <v>1</v>
      </c>
      <c r="S529" s="59">
        <v>3</v>
      </c>
      <c r="T529" s="67">
        <v>8</v>
      </c>
      <c r="U529" s="77">
        <f>5</f>
        <v>5</v>
      </c>
      <c r="V529" s="59"/>
    </row>
    <row r="530" spans="1:22" hidden="1" outlineLevel="1" x14ac:dyDescent="0.2">
      <c r="A530" s="54" t="s">
        <v>85</v>
      </c>
      <c r="B530" s="78" t="s">
        <v>530</v>
      </c>
      <c r="C530" s="78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9"/>
      <c r="R530" s="59"/>
      <c r="S530" s="59"/>
      <c r="T530" s="59"/>
      <c r="U530" s="68"/>
    </row>
    <row r="531" spans="1:22" hidden="1" outlineLevel="1" x14ac:dyDescent="0.2">
      <c r="A531" s="54"/>
      <c r="B531" s="78" t="s">
        <v>531</v>
      </c>
      <c r="C531" s="78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9"/>
      <c r="R531" s="59">
        <v>6</v>
      </c>
      <c r="S531" s="59">
        <v>2</v>
      </c>
      <c r="T531" s="67">
        <v>16</v>
      </c>
      <c r="U531" s="77">
        <f>3</f>
        <v>3</v>
      </c>
    </row>
    <row r="532" spans="1:22" hidden="1" outlineLevel="1" x14ac:dyDescent="0.2">
      <c r="A532" s="32" t="s">
        <v>86</v>
      </c>
      <c r="B532" s="109" t="s">
        <v>532</v>
      </c>
      <c r="C532" s="110"/>
      <c r="D532" s="2"/>
      <c r="E532" s="5"/>
      <c r="F532" s="6"/>
      <c r="G532" s="7"/>
      <c r="I532" s="39"/>
      <c r="J532" s="39"/>
      <c r="K532" s="39"/>
      <c r="L532" s="39"/>
      <c r="M532" s="39"/>
      <c r="N532" s="39"/>
      <c r="O532" s="39"/>
      <c r="P532" s="21"/>
      <c r="Q532" s="21"/>
      <c r="R532" s="21"/>
      <c r="S532" s="21"/>
      <c r="T532" s="21"/>
      <c r="U532" s="100"/>
    </row>
    <row r="533" spans="1:22" hidden="1" outlineLevel="1" x14ac:dyDescent="0.2">
      <c r="A533" s="32"/>
      <c r="B533" s="79" t="s">
        <v>533</v>
      </c>
      <c r="C533" s="80"/>
      <c r="D533" s="2"/>
      <c r="E533" s="5"/>
      <c r="F533" s="6"/>
      <c r="G533" s="7"/>
      <c r="I533" s="39"/>
      <c r="J533" s="39"/>
      <c r="K533" s="39"/>
      <c r="L533" s="39"/>
      <c r="M533" s="39"/>
      <c r="N533" s="39"/>
      <c r="O533" s="39"/>
      <c r="P533" s="39"/>
      <c r="Q533" s="39"/>
      <c r="R533" s="39">
        <v>101</v>
      </c>
      <c r="S533" s="39">
        <v>135</v>
      </c>
      <c r="T533" s="39">
        <v>101</v>
      </c>
      <c r="U533" s="51">
        <f>41</f>
        <v>41</v>
      </c>
    </row>
    <row r="534" spans="1:22" hidden="1" outlineLevel="1" x14ac:dyDescent="0.2">
      <c r="A534" s="32" t="s">
        <v>87</v>
      </c>
      <c r="B534" s="109" t="s">
        <v>534</v>
      </c>
      <c r="C534" s="110"/>
      <c r="D534" s="2"/>
      <c r="E534" s="5"/>
      <c r="F534" s="6"/>
      <c r="G534" s="7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51"/>
    </row>
    <row r="535" spans="1:22" hidden="1" outlineLevel="1" x14ac:dyDescent="0.2">
      <c r="A535" s="32"/>
      <c r="B535" s="109" t="s">
        <v>535</v>
      </c>
      <c r="C535" s="110"/>
      <c r="D535" s="2"/>
      <c r="E535" s="5"/>
      <c r="F535" s="6"/>
      <c r="G535" s="7"/>
      <c r="I535" s="39"/>
      <c r="J535" s="39"/>
      <c r="K535" s="39"/>
      <c r="L535" s="39"/>
      <c r="M535" s="39"/>
      <c r="N535" s="39"/>
      <c r="O535" s="39"/>
      <c r="P535" s="39"/>
      <c r="Q535" s="39"/>
      <c r="R535" s="39">
        <v>44</v>
      </c>
      <c r="S535" s="39">
        <v>13</v>
      </c>
      <c r="T535" s="39">
        <v>26</v>
      </c>
      <c r="U535" s="51">
        <f>47</f>
        <v>47</v>
      </c>
    </row>
    <row r="536" spans="1:22" hidden="1" outlineLevel="1" x14ac:dyDescent="0.2">
      <c r="A536" s="32" t="s">
        <v>133</v>
      </c>
      <c r="B536" s="81" t="s">
        <v>536</v>
      </c>
      <c r="C536" s="82"/>
      <c r="D536" s="2"/>
      <c r="E536" s="5"/>
      <c r="F536" s="6"/>
      <c r="G536" s="7"/>
      <c r="I536" s="39"/>
      <c r="J536" s="39"/>
      <c r="K536" s="39"/>
      <c r="L536" s="39"/>
      <c r="M536" s="39"/>
      <c r="N536" s="39"/>
      <c r="O536" s="39"/>
      <c r="P536" s="39"/>
      <c r="Q536" s="39"/>
      <c r="R536" s="39">
        <v>59</v>
      </c>
      <c r="S536" s="39">
        <v>35</v>
      </c>
      <c r="T536" s="39">
        <v>77</v>
      </c>
      <c r="U536" s="51">
        <f>33</f>
        <v>33</v>
      </c>
    </row>
    <row r="537" spans="1:22" hidden="1" outlineLevel="1" x14ac:dyDescent="0.2">
      <c r="A537" s="32" t="s">
        <v>134</v>
      </c>
      <c r="B537" s="81" t="s">
        <v>537</v>
      </c>
      <c r="C537" s="82"/>
      <c r="D537" s="2"/>
      <c r="E537" s="5"/>
      <c r="F537" s="6"/>
      <c r="G537" s="7"/>
      <c r="I537" s="39"/>
      <c r="J537" s="39"/>
      <c r="K537" s="39"/>
      <c r="L537" s="39"/>
      <c r="M537" s="39"/>
      <c r="N537" s="39"/>
      <c r="O537" s="39"/>
      <c r="P537" s="39"/>
      <c r="Q537" s="39"/>
      <c r="R537" s="39">
        <v>294</v>
      </c>
      <c r="S537" s="39">
        <v>319</v>
      </c>
      <c r="T537" s="39">
        <v>288</v>
      </c>
      <c r="U537" s="51">
        <f>185</f>
        <v>185</v>
      </c>
    </row>
    <row r="538" spans="1:22" hidden="1" outlineLevel="1" x14ac:dyDescent="0.2">
      <c r="A538" s="32" t="s">
        <v>135</v>
      </c>
      <c r="B538" s="81" t="s">
        <v>538</v>
      </c>
      <c r="C538" s="82"/>
      <c r="D538" s="2"/>
      <c r="E538" s="5"/>
      <c r="F538" s="6"/>
      <c r="G538" s="7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51"/>
    </row>
    <row r="539" spans="1:22" hidden="1" outlineLevel="1" x14ac:dyDescent="0.2">
      <c r="A539" s="32" t="s">
        <v>478</v>
      </c>
      <c r="B539" s="81" t="s">
        <v>539</v>
      </c>
      <c r="C539" s="82"/>
      <c r="D539" s="2"/>
      <c r="E539" s="5"/>
      <c r="F539" s="6"/>
      <c r="G539" s="7"/>
      <c r="I539" s="39"/>
      <c r="J539" s="39"/>
      <c r="K539" s="39"/>
      <c r="L539" s="39"/>
      <c r="M539" s="39"/>
      <c r="N539" s="39"/>
      <c r="O539" s="39"/>
      <c r="P539" s="39"/>
      <c r="Q539" s="39"/>
      <c r="R539" s="39">
        <v>0</v>
      </c>
      <c r="S539" s="39">
        <v>0</v>
      </c>
      <c r="T539" s="39">
        <v>0</v>
      </c>
      <c r="U539" s="51">
        <f>0</f>
        <v>0</v>
      </c>
    </row>
    <row r="540" spans="1:22" hidden="1" outlineLevel="1" x14ac:dyDescent="0.2">
      <c r="A540" s="32" t="s">
        <v>136</v>
      </c>
      <c r="B540" s="81" t="s">
        <v>540</v>
      </c>
      <c r="C540" s="82"/>
      <c r="D540" s="2"/>
      <c r="E540" s="5"/>
      <c r="F540" s="6"/>
      <c r="G540" s="7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51"/>
    </row>
    <row r="541" spans="1:22" hidden="1" outlineLevel="1" x14ac:dyDescent="0.2">
      <c r="A541" s="32"/>
      <c r="B541" s="81" t="s">
        <v>539</v>
      </c>
      <c r="C541" s="82"/>
      <c r="D541" s="2"/>
      <c r="E541" s="5"/>
      <c r="F541" s="6"/>
      <c r="G541" s="7"/>
      <c r="I541" s="39"/>
      <c r="J541" s="39"/>
      <c r="K541" s="39"/>
      <c r="L541" s="39"/>
      <c r="M541" s="39"/>
      <c r="N541" s="39"/>
      <c r="O541" s="39"/>
      <c r="P541" s="39"/>
      <c r="Q541" s="39"/>
      <c r="R541" s="39">
        <v>0</v>
      </c>
      <c r="S541" s="39">
        <v>0</v>
      </c>
      <c r="T541" s="39">
        <v>0</v>
      </c>
      <c r="U541" s="51">
        <f>0</f>
        <v>0</v>
      </c>
    </row>
    <row r="542" spans="1:22" hidden="1" outlineLevel="1" x14ac:dyDescent="0.2">
      <c r="A542" s="32" t="s">
        <v>138</v>
      </c>
      <c r="B542" s="109" t="s">
        <v>541</v>
      </c>
      <c r="C542" s="110"/>
      <c r="D542" s="2"/>
      <c r="E542" s="5"/>
      <c r="F542" s="6"/>
      <c r="G542" s="7"/>
      <c r="I542" s="39"/>
      <c r="J542" s="39"/>
      <c r="K542" s="39"/>
      <c r="L542" s="39"/>
      <c r="M542" s="39"/>
      <c r="N542" s="39"/>
      <c r="O542" s="39"/>
      <c r="P542" s="39"/>
      <c r="Q542" s="39"/>
      <c r="R542" s="39">
        <v>0</v>
      </c>
      <c r="S542" s="39">
        <v>1</v>
      </c>
      <c r="T542" s="39">
        <v>1</v>
      </c>
      <c r="U542" s="51">
        <f>0</f>
        <v>0</v>
      </c>
    </row>
    <row r="543" spans="1:22" hidden="1" outlineLevel="1" x14ac:dyDescent="0.2">
      <c r="A543" s="32" t="s">
        <v>140</v>
      </c>
      <c r="B543" s="5" t="s">
        <v>393</v>
      </c>
      <c r="C543" s="5"/>
      <c r="D543" s="2"/>
      <c r="E543" s="5"/>
      <c r="F543" s="6"/>
      <c r="G543" s="7"/>
      <c r="I543" s="39"/>
      <c r="J543" s="39"/>
      <c r="K543" s="39"/>
      <c r="L543" s="39"/>
      <c r="M543" s="39"/>
      <c r="N543" s="39"/>
      <c r="O543" s="39"/>
      <c r="P543" s="39"/>
      <c r="Q543" s="39"/>
      <c r="R543" s="39">
        <v>0</v>
      </c>
      <c r="S543" s="39">
        <v>1</v>
      </c>
      <c r="T543" s="39">
        <v>2</v>
      </c>
      <c r="U543" s="39">
        <f>0+0+0</f>
        <v>0</v>
      </c>
    </row>
    <row r="544" spans="1:22" hidden="1" outlineLevel="1" x14ac:dyDescent="0.2">
      <c r="A544" s="32" t="s">
        <v>474</v>
      </c>
      <c r="B544" s="5" t="s">
        <v>56</v>
      </c>
      <c r="C544" s="5"/>
      <c r="D544" s="2"/>
      <c r="E544" s="5"/>
      <c r="F544" s="6"/>
      <c r="G544" s="7"/>
      <c r="I544" s="39"/>
      <c r="J544" s="39"/>
      <c r="K544" s="39"/>
      <c r="L544" s="39"/>
      <c r="M544" s="39"/>
      <c r="N544" s="39"/>
      <c r="O544" s="39"/>
      <c r="P544" s="39"/>
      <c r="Q544" s="39"/>
      <c r="R544" s="40">
        <v>8.9</v>
      </c>
      <c r="S544" s="40">
        <v>8.4</v>
      </c>
      <c r="T544" s="40">
        <v>7.4</v>
      </c>
      <c r="U544" s="40">
        <v>7.6</v>
      </c>
    </row>
    <row r="545" spans="1:24" hidden="1" outlineLevel="1" x14ac:dyDescent="0.2">
      <c r="A545" s="32"/>
      <c r="B545" s="5" t="s">
        <v>57</v>
      </c>
      <c r="C545" s="5"/>
      <c r="D545" s="2"/>
      <c r="E545" s="5"/>
      <c r="F545" s="6"/>
      <c r="G545" s="7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</row>
    <row r="546" spans="1:24" hidden="1" outlineLevel="2" x14ac:dyDescent="0.2">
      <c r="A546" s="32" t="s">
        <v>88</v>
      </c>
      <c r="B546" s="5" t="s">
        <v>56</v>
      </c>
      <c r="C546" s="5"/>
      <c r="D546" s="2"/>
      <c r="E546" s="5"/>
      <c r="F546" s="6"/>
      <c r="G546" s="7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</row>
    <row r="547" spans="1:24" hidden="1" outlineLevel="2" x14ac:dyDescent="0.2">
      <c r="A547" s="32"/>
      <c r="B547" s="5" t="s">
        <v>57</v>
      </c>
      <c r="C547" s="5">
        <f>7.2</f>
        <v>7.2</v>
      </c>
      <c r="D547" s="2">
        <f>8.1</f>
        <v>8.1</v>
      </c>
      <c r="E547" s="5">
        <v>7.5</v>
      </c>
      <c r="F547" s="6"/>
      <c r="G547" s="24">
        <v>9.6</v>
      </c>
      <c r="H547" s="24">
        <v>8.5</v>
      </c>
      <c r="I547" s="40">
        <v>7.6</v>
      </c>
      <c r="J547" s="40">
        <v>6.8</v>
      </c>
      <c r="K547" s="40">
        <v>8.1999999999999993</v>
      </c>
      <c r="L547" s="40">
        <v>9.5</v>
      </c>
      <c r="M547" s="40">
        <v>8.9</v>
      </c>
      <c r="N547" s="40">
        <v>12.2</v>
      </c>
      <c r="O547" s="40">
        <v>8.6999999999999993</v>
      </c>
      <c r="P547" s="40">
        <v>9.5</v>
      </c>
      <c r="Q547" s="40">
        <v>8.9</v>
      </c>
      <c r="R547" s="40">
        <v>8.9</v>
      </c>
      <c r="S547" s="40">
        <v>8.4</v>
      </c>
      <c r="T547" s="40">
        <v>7.4</v>
      </c>
      <c r="U547" s="40">
        <v>7.6</v>
      </c>
    </row>
    <row r="548" spans="1:24" hidden="1" outlineLevel="1" collapsed="1" x14ac:dyDescent="0.2">
      <c r="A548" s="32"/>
      <c r="B548" s="5"/>
      <c r="C548" s="5"/>
      <c r="D548" s="2"/>
      <c r="E548" s="5"/>
      <c r="F548" s="6"/>
      <c r="G548" s="24"/>
      <c r="H548" s="24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</row>
    <row r="549" spans="1:24" hidden="1" outlineLevel="1" x14ac:dyDescent="0.2">
      <c r="A549" s="32" t="s">
        <v>88</v>
      </c>
      <c r="B549" s="5" t="s">
        <v>642</v>
      </c>
      <c r="C549" s="5">
        <f>7.2</f>
        <v>7.2</v>
      </c>
      <c r="D549" s="2">
        <f>8.1</f>
        <v>8.1</v>
      </c>
      <c r="E549" s="5">
        <v>7.5</v>
      </c>
      <c r="F549" s="6"/>
      <c r="G549" s="24">
        <v>9.6</v>
      </c>
      <c r="H549" s="24">
        <v>8.5</v>
      </c>
      <c r="I549" s="40">
        <v>7.6</v>
      </c>
      <c r="J549" s="40">
        <v>6.8</v>
      </c>
      <c r="K549" s="40">
        <v>8.1999999999999993</v>
      </c>
      <c r="L549" s="40">
        <v>9.5</v>
      </c>
      <c r="M549" s="40">
        <v>8.9</v>
      </c>
      <c r="N549" s="40">
        <v>12.2</v>
      </c>
      <c r="O549" s="40">
        <v>8.6999999999999993</v>
      </c>
      <c r="P549" s="40">
        <v>9.5</v>
      </c>
      <c r="Q549" s="40">
        <v>8.9</v>
      </c>
    </row>
    <row r="550" spans="1:24" hidden="1" outlineLevel="1" x14ac:dyDescent="0.2">
      <c r="A550" s="32" t="s">
        <v>333</v>
      </c>
      <c r="B550" s="5" t="s">
        <v>659</v>
      </c>
      <c r="C550" s="5"/>
      <c r="D550" s="2"/>
      <c r="E550" s="5"/>
      <c r="F550" s="6"/>
      <c r="G550" s="24"/>
      <c r="H550" s="24"/>
      <c r="I550" s="40"/>
      <c r="J550" s="40"/>
      <c r="K550" s="40"/>
      <c r="L550" s="40"/>
      <c r="M550" s="40"/>
      <c r="N550" s="40"/>
      <c r="O550" s="40"/>
      <c r="P550" s="40"/>
      <c r="Q550" s="40"/>
      <c r="U550" s="39">
        <v>133</v>
      </c>
    </row>
    <row r="551" spans="1:24" hidden="1" outlineLevel="1" x14ac:dyDescent="0.2">
      <c r="A551" s="32" t="s">
        <v>334</v>
      </c>
      <c r="B551" s="5" t="s">
        <v>660</v>
      </c>
      <c r="C551" s="5"/>
      <c r="D551" s="2"/>
      <c r="E551" s="5"/>
      <c r="F551" s="6"/>
      <c r="G551" s="24"/>
      <c r="H551" s="24"/>
      <c r="I551" s="40"/>
      <c r="J551" s="40"/>
      <c r="K551" s="40"/>
      <c r="L551" s="40"/>
      <c r="M551" s="40"/>
      <c r="N551" s="40"/>
      <c r="O551" s="40"/>
      <c r="P551" s="40"/>
      <c r="Q551" s="40"/>
      <c r="U551" s="39">
        <v>0</v>
      </c>
    </row>
    <row r="552" spans="1:24" hidden="1" outlineLevel="1" x14ac:dyDescent="0.2">
      <c r="A552" s="32" t="s">
        <v>661</v>
      </c>
      <c r="B552" s="5" t="s">
        <v>662</v>
      </c>
      <c r="C552" s="5"/>
      <c r="D552" s="2"/>
      <c r="E552" s="5"/>
      <c r="F552" s="6"/>
      <c r="G552" s="24"/>
      <c r="H552" s="24"/>
      <c r="I552" s="40"/>
      <c r="J552" s="40"/>
      <c r="K552" s="40"/>
      <c r="L552" s="40"/>
      <c r="M552" s="40"/>
      <c r="N552" s="40"/>
      <c r="O552" s="40"/>
      <c r="P552" s="40"/>
      <c r="Q552" s="40"/>
      <c r="U552" s="39">
        <v>0</v>
      </c>
    </row>
    <row r="553" spans="1:24" hidden="1" outlineLevel="1" x14ac:dyDescent="0.2">
      <c r="A553" s="32" t="s">
        <v>663</v>
      </c>
      <c r="B553" s="5" t="s">
        <v>56</v>
      </c>
      <c r="C553" s="5"/>
      <c r="D553" s="2"/>
      <c r="E553" s="5"/>
      <c r="F553" s="6"/>
      <c r="G553" s="24"/>
      <c r="H553" s="24"/>
      <c r="I553" s="40"/>
      <c r="J553" s="40"/>
      <c r="K553" s="40"/>
      <c r="L553" s="40"/>
      <c r="M553" s="40"/>
      <c r="N553" s="40"/>
      <c r="O553" s="40"/>
      <c r="P553" s="40"/>
      <c r="Q553" s="40"/>
      <c r="U553" s="39"/>
    </row>
    <row r="554" spans="1:24" hidden="1" outlineLevel="1" x14ac:dyDescent="0.2">
      <c r="A554" s="32"/>
      <c r="B554" s="32" t="s">
        <v>57</v>
      </c>
      <c r="C554" s="5"/>
      <c r="D554" s="2"/>
      <c r="E554" s="5"/>
      <c r="F554" s="6"/>
      <c r="G554" s="24"/>
      <c r="H554" s="24"/>
      <c r="I554" s="40"/>
      <c r="J554" s="40"/>
      <c r="K554" s="40"/>
      <c r="L554" s="40"/>
      <c r="M554" s="40"/>
      <c r="N554" s="40"/>
      <c r="O554" s="40"/>
      <c r="P554" s="40"/>
      <c r="Q554" s="40"/>
      <c r="U554" s="58">
        <v>7.4</v>
      </c>
    </row>
    <row r="555" spans="1:24" collapsed="1" x14ac:dyDescent="0.2">
      <c r="A555" s="32" t="s">
        <v>82</v>
      </c>
      <c r="B555" s="5" t="s">
        <v>642</v>
      </c>
      <c r="C555" s="5"/>
      <c r="D555" s="2"/>
      <c r="E555" s="5"/>
      <c r="F555" s="6"/>
      <c r="G555" s="24"/>
      <c r="H555" s="24"/>
      <c r="I555" s="40"/>
      <c r="J555" s="40"/>
      <c r="K555" s="40"/>
      <c r="L555" s="40"/>
      <c r="M555" s="40"/>
      <c r="N555" s="40"/>
      <c r="O555" s="40"/>
      <c r="P555" s="40"/>
      <c r="Q555" s="40"/>
      <c r="U555" s="58"/>
    </row>
    <row r="556" spans="1:24" x14ac:dyDescent="0.2">
      <c r="A556" s="32" t="s">
        <v>84</v>
      </c>
      <c r="B556" s="5" t="s">
        <v>659</v>
      </c>
      <c r="C556" s="5"/>
      <c r="D556" s="2"/>
      <c r="E556" s="5"/>
      <c r="F556" s="6"/>
      <c r="G556" s="24"/>
      <c r="H556" s="24"/>
      <c r="I556" s="40"/>
      <c r="J556" s="40"/>
      <c r="K556" s="40"/>
      <c r="L556" s="40"/>
      <c r="M556" s="40"/>
      <c r="N556" s="40"/>
      <c r="O556" s="40"/>
      <c r="P556" s="40"/>
      <c r="Q556" s="40"/>
      <c r="U556" s="39">
        <v>133</v>
      </c>
      <c r="V556" s="39">
        <v>624</v>
      </c>
      <c r="W556" s="39">
        <v>752</v>
      </c>
      <c r="X556" s="39">
        <v>782</v>
      </c>
    </row>
    <row r="557" spans="1:24" x14ac:dyDescent="0.2">
      <c r="A557" s="32" t="s">
        <v>85</v>
      </c>
      <c r="B557" s="5" t="s">
        <v>714</v>
      </c>
      <c r="C557" s="5"/>
      <c r="D557" s="2"/>
      <c r="E557" s="5"/>
      <c r="F557" s="6"/>
      <c r="G557" s="24"/>
      <c r="H557" s="24"/>
      <c r="I557" s="40"/>
      <c r="J557" s="40"/>
      <c r="K557" s="40"/>
      <c r="L557" s="40"/>
      <c r="M557" s="40"/>
      <c r="N557" s="40"/>
      <c r="O557" s="40"/>
      <c r="P557" s="40"/>
      <c r="Q557" s="40"/>
      <c r="U557" s="39"/>
      <c r="V557" s="39"/>
      <c r="W557" s="39">
        <v>1</v>
      </c>
      <c r="X557" s="39">
        <v>12</v>
      </c>
    </row>
    <row r="558" spans="1:24" hidden="1" outlineLevel="1" x14ac:dyDescent="0.2">
      <c r="A558" s="32" t="s">
        <v>85</v>
      </c>
      <c r="B558" s="5" t="s">
        <v>660</v>
      </c>
      <c r="C558" s="5"/>
      <c r="D558" s="2"/>
      <c r="E558" s="5"/>
      <c r="F558" s="6"/>
      <c r="G558" s="24"/>
      <c r="H558" s="24"/>
      <c r="I558" s="40"/>
      <c r="J558" s="40"/>
      <c r="K558" s="40"/>
      <c r="L558" s="40"/>
      <c r="M558" s="40"/>
      <c r="N558" s="40"/>
      <c r="O558" s="40"/>
      <c r="P558" s="40"/>
      <c r="Q558" s="40"/>
      <c r="U558" s="39">
        <v>0</v>
      </c>
      <c r="V558" s="39">
        <v>0</v>
      </c>
      <c r="W558" s="39">
        <v>0</v>
      </c>
      <c r="X558" s="39"/>
    </row>
    <row r="559" spans="1:24" collapsed="1" x14ac:dyDescent="0.2">
      <c r="A559" s="32" t="s">
        <v>86</v>
      </c>
      <c r="B559" s="5" t="s">
        <v>660</v>
      </c>
      <c r="C559" s="5"/>
      <c r="D559" s="2"/>
      <c r="E559" s="5"/>
      <c r="F559" s="6"/>
      <c r="G559" s="24"/>
      <c r="H559" s="24"/>
      <c r="I559" s="40"/>
      <c r="J559" s="40"/>
      <c r="K559" s="40"/>
      <c r="L559" s="40"/>
      <c r="M559" s="40"/>
      <c r="N559" s="40"/>
      <c r="O559" s="40"/>
      <c r="P559" s="40"/>
      <c r="Q559" s="40"/>
      <c r="U559" s="39">
        <v>0</v>
      </c>
      <c r="V559" s="39">
        <v>0</v>
      </c>
      <c r="W559" s="39">
        <v>0</v>
      </c>
      <c r="X559" s="39">
        <v>0</v>
      </c>
    </row>
    <row r="560" spans="1:24" hidden="1" outlineLevel="1" x14ac:dyDescent="0.2">
      <c r="A560" s="32" t="s">
        <v>86</v>
      </c>
      <c r="B560" s="5" t="s">
        <v>662</v>
      </c>
      <c r="C560" s="5"/>
      <c r="D560" s="2"/>
      <c r="E560" s="5"/>
      <c r="F560" s="6"/>
      <c r="G560" s="24"/>
      <c r="H560" s="24"/>
      <c r="I560" s="40"/>
      <c r="J560" s="40"/>
      <c r="K560" s="40"/>
      <c r="L560" s="40"/>
      <c r="M560" s="40"/>
      <c r="N560" s="40"/>
      <c r="O560" s="40"/>
      <c r="P560" s="40"/>
      <c r="Q560" s="40"/>
      <c r="U560" s="39">
        <v>0</v>
      </c>
      <c r="V560" s="39">
        <v>0</v>
      </c>
      <c r="W560" s="39">
        <v>12</v>
      </c>
      <c r="X560" s="39"/>
    </row>
    <row r="561" spans="1:26" collapsed="1" x14ac:dyDescent="0.2">
      <c r="A561" s="32" t="s">
        <v>87</v>
      </c>
      <c r="B561" s="5" t="s">
        <v>662</v>
      </c>
      <c r="C561" s="5"/>
      <c r="D561" s="2"/>
      <c r="E561" s="5"/>
      <c r="F561" s="6"/>
      <c r="G561" s="24"/>
      <c r="H561" s="24"/>
      <c r="I561" s="40"/>
      <c r="J561" s="40"/>
      <c r="K561" s="40"/>
      <c r="L561" s="40"/>
      <c r="M561" s="40"/>
      <c r="N561" s="40"/>
      <c r="O561" s="40"/>
      <c r="P561" s="40"/>
      <c r="Q561" s="40"/>
      <c r="U561" s="39">
        <v>0</v>
      </c>
      <c r="V561" s="39">
        <v>0</v>
      </c>
      <c r="W561" s="39">
        <v>12</v>
      </c>
      <c r="X561" s="39">
        <v>12</v>
      </c>
    </row>
    <row r="562" spans="1:26" x14ac:dyDescent="0.2">
      <c r="A562" s="32"/>
      <c r="B562" s="5"/>
      <c r="C562" s="5"/>
      <c r="D562" s="2"/>
      <c r="E562" s="5"/>
      <c r="F562" s="6"/>
      <c r="G562" s="24"/>
      <c r="H562" s="24"/>
      <c r="I562" s="40"/>
      <c r="J562" s="40"/>
      <c r="K562" s="40"/>
      <c r="L562" s="40"/>
      <c r="M562" s="40"/>
      <c r="N562" s="40"/>
      <c r="O562" s="40"/>
      <c r="P562" s="40"/>
      <c r="Q562" s="40"/>
      <c r="U562" s="39"/>
      <c r="V562" s="39"/>
      <c r="W562" s="39"/>
      <c r="X562" s="39"/>
    </row>
    <row r="563" spans="1:26" x14ac:dyDescent="0.2">
      <c r="A563" s="32" t="s">
        <v>88</v>
      </c>
      <c r="B563" s="5" t="s">
        <v>56</v>
      </c>
      <c r="C563" s="5"/>
      <c r="D563" s="2"/>
      <c r="E563" s="5"/>
      <c r="F563" s="6"/>
      <c r="G563" s="24"/>
      <c r="H563" s="24"/>
      <c r="I563" s="40"/>
      <c r="J563" s="40"/>
      <c r="K563" s="40"/>
      <c r="L563" s="40"/>
      <c r="M563" s="40"/>
      <c r="N563" s="40"/>
      <c r="O563" s="40"/>
      <c r="P563" s="40"/>
      <c r="Q563" s="40"/>
      <c r="U563" s="39"/>
      <c r="V563" s="39"/>
      <c r="W563" s="39"/>
      <c r="X563" s="39"/>
    </row>
    <row r="564" spans="1:26" x14ac:dyDescent="0.2">
      <c r="A564" s="32"/>
      <c r="B564" s="32" t="s">
        <v>57</v>
      </c>
      <c r="C564" s="5"/>
      <c r="D564" s="2"/>
      <c r="E564" s="5"/>
      <c r="F564" s="6"/>
      <c r="G564" s="24"/>
      <c r="H564" s="24"/>
      <c r="I564" s="40"/>
      <c r="J564" s="40"/>
      <c r="K564" s="40"/>
      <c r="L564" s="40"/>
      <c r="M564" s="40"/>
      <c r="N564" s="40"/>
      <c r="O564" s="40"/>
      <c r="P564" s="40"/>
      <c r="Q564" s="40"/>
      <c r="U564" s="58">
        <v>7.4</v>
      </c>
      <c r="V564" s="58">
        <v>6.9</v>
      </c>
      <c r="W564" s="58">
        <v>6.3</v>
      </c>
      <c r="X564" s="58">
        <v>13.1</v>
      </c>
    </row>
    <row r="565" spans="1:26" x14ac:dyDescent="0.2">
      <c r="A565" s="32"/>
      <c r="B565" s="5"/>
      <c r="C565" s="5"/>
      <c r="D565" s="2"/>
      <c r="E565" s="5"/>
      <c r="F565" s="6"/>
      <c r="G565" s="7"/>
    </row>
    <row r="566" spans="1:26" hidden="1" outlineLevel="1" x14ac:dyDescent="0.2">
      <c r="A566" s="32"/>
      <c r="B566" s="5"/>
      <c r="C566" s="5">
        <f>1989</f>
        <v>1989</v>
      </c>
      <c r="D566" s="63">
        <f>1993</f>
        <v>1993</v>
      </c>
      <c r="E566" s="63">
        <f>1994</f>
        <v>1994</v>
      </c>
      <c r="F566" s="63"/>
      <c r="G566" s="64">
        <v>1995</v>
      </c>
      <c r="H566" s="64">
        <v>1996</v>
      </c>
      <c r="I566" s="38">
        <v>1997</v>
      </c>
      <c r="J566" s="38">
        <v>1998</v>
      </c>
      <c r="K566" s="38">
        <v>1999</v>
      </c>
      <c r="L566" s="38">
        <v>2000</v>
      </c>
      <c r="M566" s="38">
        <v>2001</v>
      </c>
      <c r="N566" s="38">
        <v>2002</v>
      </c>
      <c r="O566" s="38">
        <v>2003</v>
      </c>
      <c r="P566" s="38">
        <v>2004</v>
      </c>
      <c r="Q566" s="38">
        <v>2005</v>
      </c>
      <c r="R566" s="38">
        <v>2006</v>
      </c>
      <c r="S566" s="38">
        <v>2007</v>
      </c>
      <c r="T566" s="38">
        <v>2008</v>
      </c>
      <c r="U566" s="38">
        <v>2009</v>
      </c>
    </row>
    <row r="567" spans="1:26" collapsed="1" x14ac:dyDescent="0.2">
      <c r="A567" s="56" t="s">
        <v>123</v>
      </c>
      <c r="B567" s="6" t="s">
        <v>544</v>
      </c>
      <c r="C567" s="5"/>
      <c r="D567" s="2"/>
      <c r="E567" s="5"/>
      <c r="F567" s="6"/>
      <c r="G567" s="7"/>
    </row>
    <row r="568" spans="1:26" x14ac:dyDescent="0.2">
      <c r="A568" s="32" t="s">
        <v>4</v>
      </c>
      <c r="B568" s="5" t="s">
        <v>545</v>
      </c>
      <c r="C568" s="5">
        <f>731</f>
        <v>731</v>
      </c>
      <c r="D568" s="2">
        <f>506-22</f>
        <v>484</v>
      </c>
      <c r="E568" s="5">
        <v>486</v>
      </c>
      <c r="F568" s="6"/>
      <c r="G568" s="7">
        <v>547</v>
      </c>
      <c r="H568" s="7">
        <v>495</v>
      </c>
      <c r="I568" s="39">
        <v>535</v>
      </c>
      <c r="J568" s="39">
        <v>560</v>
      </c>
      <c r="K568" s="39">
        <v>597</v>
      </c>
      <c r="L568" s="39">
        <v>624</v>
      </c>
      <c r="M568" s="39">
        <v>562</v>
      </c>
      <c r="N568" s="39">
        <v>594</v>
      </c>
      <c r="O568" s="39">
        <v>673</v>
      </c>
      <c r="P568" s="39">
        <v>650</v>
      </c>
      <c r="Q568" s="39">
        <v>564</v>
      </c>
      <c r="R568" s="53">
        <v>701</v>
      </c>
      <c r="S568" s="53">
        <v>594</v>
      </c>
      <c r="T568" s="53">
        <v>637</v>
      </c>
      <c r="U568" s="53">
        <f>439+226</f>
        <v>665</v>
      </c>
      <c r="V568" s="53">
        <v>779</v>
      </c>
      <c r="W568" s="53">
        <f>SUM(W573:W585)</f>
        <v>655</v>
      </c>
      <c r="X568" s="53">
        <f>SUM(X573:X585)</f>
        <v>662</v>
      </c>
      <c r="Z568" s="102"/>
    </row>
    <row r="569" spans="1:26" hidden="1" outlineLevel="1" x14ac:dyDescent="0.2">
      <c r="A569" s="32" t="s">
        <v>59</v>
      </c>
      <c r="B569" s="5" t="s">
        <v>9</v>
      </c>
      <c r="C569" s="5">
        <f>722</f>
        <v>722</v>
      </c>
      <c r="D569" s="2">
        <f>491</f>
        <v>491</v>
      </c>
      <c r="E569" s="5">
        <v>476</v>
      </c>
      <c r="F569" s="6"/>
      <c r="G569" s="7">
        <v>552</v>
      </c>
      <c r="H569" s="7">
        <v>526</v>
      </c>
      <c r="I569" s="39">
        <v>503</v>
      </c>
      <c r="J569" s="39">
        <v>498</v>
      </c>
      <c r="K569" s="39">
        <v>577</v>
      </c>
      <c r="L569" s="39">
        <v>614</v>
      </c>
      <c r="M569" s="39">
        <v>553</v>
      </c>
      <c r="N569" s="39">
        <v>613</v>
      </c>
      <c r="O569" s="39">
        <v>647</v>
      </c>
      <c r="P569" s="39">
        <v>672</v>
      </c>
      <c r="Q569" s="39">
        <v>557</v>
      </c>
      <c r="R569" s="39" t="s">
        <v>329</v>
      </c>
      <c r="S569" s="39" t="s">
        <v>329</v>
      </c>
      <c r="T569" s="39"/>
      <c r="U569" s="39"/>
      <c r="V569" s="39"/>
      <c r="W569" s="39"/>
      <c r="X569" s="39"/>
    </row>
    <row r="570" spans="1:26" hidden="1" outlineLevel="1" x14ac:dyDescent="0.2">
      <c r="A570" s="32" t="s">
        <v>80</v>
      </c>
      <c r="B570" s="5" t="s">
        <v>64</v>
      </c>
      <c r="C570" s="5">
        <f>97</f>
        <v>97</v>
      </c>
      <c r="D570" s="2">
        <f>80</f>
        <v>80</v>
      </c>
      <c r="E570" s="5">
        <v>90</v>
      </c>
      <c r="F570" s="6"/>
      <c r="G570" s="7">
        <v>85</v>
      </c>
      <c r="H570" s="7">
        <v>53</v>
      </c>
      <c r="I570" s="39">
        <v>51</v>
      </c>
      <c r="J570" s="39">
        <v>109</v>
      </c>
      <c r="K570" s="39">
        <v>126</v>
      </c>
      <c r="L570" s="39">
        <v>131</v>
      </c>
      <c r="M570" s="39">
        <v>135</v>
      </c>
      <c r="N570" s="39">
        <v>116</v>
      </c>
      <c r="O570" s="39">
        <v>128</v>
      </c>
      <c r="P570" s="39">
        <v>100</v>
      </c>
      <c r="Q570" s="39">
        <v>107</v>
      </c>
      <c r="R570" s="39" t="s">
        <v>329</v>
      </c>
      <c r="S570" s="39" t="s">
        <v>329</v>
      </c>
      <c r="T570" s="39"/>
      <c r="U570" s="39"/>
      <c r="V570" s="39"/>
      <c r="W570" s="39"/>
      <c r="X570" s="39"/>
    </row>
    <row r="571" spans="1:26" hidden="1" outlineLevel="1" x14ac:dyDescent="0.2">
      <c r="A571" s="32" t="s">
        <v>82</v>
      </c>
      <c r="B571" s="5" t="s">
        <v>217</v>
      </c>
      <c r="C571" s="5"/>
      <c r="D571" s="2"/>
      <c r="E571" s="5"/>
      <c r="F571" s="6"/>
      <c r="G571" s="7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</row>
    <row r="572" spans="1:26" collapsed="1" x14ac:dyDescent="0.2">
      <c r="A572" s="32"/>
      <c r="B572" s="5" t="s">
        <v>328</v>
      </c>
      <c r="C572" s="5"/>
      <c r="D572" s="2"/>
      <c r="E572" s="5"/>
      <c r="F572" s="6"/>
      <c r="G572" s="7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</row>
    <row r="573" spans="1:26" x14ac:dyDescent="0.2">
      <c r="A573" s="32" t="s">
        <v>5</v>
      </c>
      <c r="B573" s="69" t="s">
        <v>682</v>
      </c>
      <c r="C573" s="5">
        <f>403</f>
        <v>403</v>
      </c>
      <c r="D573" s="2">
        <f>351</f>
        <v>351</v>
      </c>
      <c r="E573" s="5">
        <v>360</v>
      </c>
      <c r="F573" s="6"/>
      <c r="G573" s="7">
        <v>389</v>
      </c>
      <c r="H573" s="7">
        <v>339</v>
      </c>
      <c r="I573" s="39">
        <v>351</v>
      </c>
      <c r="J573" s="39">
        <v>235</v>
      </c>
      <c r="K573" s="39">
        <v>299</v>
      </c>
      <c r="L573" s="39">
        <v>341</v>
      </c>
      <c r="M573" s="39">
        <v>332</v>
      </c>
      <c r="N573" s="39">
        <v>363</v>
      </c>
      <c r="O573" s="39">
        <v>400</v>
      </c>
      <c r="P573" s="39">
        <v>471</v>
      </c>
      <c r="Q573" s="39">
        <v>394</v>
      </c>
      <c r="R573" s="53">
        <v>475</v>
      </c>
      <c r="S573" s="53">
        <v>383</v>
      </c>
      <c r="T573" s="53">
        <v>377</v>
      </c>
      <c r="U573" s="53">
        <f>263+120</f>
        <v>383</v>
      </c>
      <c r="V573" s="53">
        <v>493</v>
      </c>
      <c r="W573" s="53">
        <v>434</v>
      </c>
      <c r="X573" s="53">
        <v>378</v>
      </c>
    </row>
    <row r="574" spans="1:26" x14ac:dyDescent="0.2">
      <c r="A574" s="32" t="s">
        <v>8</v>
      </c>
      <c r="B574" s="69" t="s">
        <v>683</v>
      </c>
      <c r="C574" s="5"/>
      <c r="D574" s="2"/>
      <c r="E574" s="5"/>
      <c r="F574" s="6"/>
      <c r="G574" s="7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</row>
    <row r="575" spans="1:26" x14ac:dyDescent="0.2">
      <c r="A575" s="32"/>
      <c r="B575" s="69" t="s">
        <v>666</v>
      </c>
      <c r="C575" s="5"/>
      <c r="D575" s="2"/>
      <c r="E575" s="5"/>
      <c r="F575" s="6"/>
      <c r="G575" s="7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</row>
    <row r="576" spans="1:26" x14ac:dyDescent="0.2">
      <c r="A576" s="32" t="s">
        <v>553</v>
      </c>
      <c r="B576" s="5" t="s">
        <v>546</v>
      </c>
      <c r="C576" s="5">
        <f>13</f>
        <v>13</v>
      </c>
      <c r="D576" s="2">
        <f>7</f>
        <v>7</v>
      </c>
      <c r="E576" s="5">
        <v>6</v>
      </c>
      <c r="F576" s="6"/>
      <c r="G576" s="7">
        <v>15</v>
      </c>
      <c r="H576" s="7">
        <v>16</v>
      </c>
      <c r="I576" s="39">
        <v>6</v>
      </c>
      <c r="J576" s="39">
        <v>6</v>
      </c>
      <c r="K576" s="39">
        <v>15</v>
      </c>
      <c r="L576" s="39">
        <v>13</v>
      </c>
      <c r="M576" s="39">
        <v>11</v>
      </c>
      <c r="N576" s="39">
        <v>7</v>
      </c>
      <c r="O576" s="39">
        <v>8</v>
      </c>
      <c r="P576" s="39">
        <v>9</v>
      </c>
      <c r="Q576" s="39">
        <v>11</v>
      </c>
      <c r="R576" s="53">
        <v>34</v>
      </c>
      <c r="S576" s="53">
        <v>28</v>
      </c>
      <c r="T576" s="53">
        <v>42</v>
      </c>
      <c r="U576" s="53">
        <f>39+12</f>
        <v>51</v>
      </c>
      <c r="V576" s="53">
        <v>18</v>
      </c>
      <c r="W576" s="53" t="s">
        <v>329</v>
      </c>
      <c r="X576" s="53" t="s">
        <v>329</v>
      </c>
    </row>
    <row r="577" spans="1:24" x14ac:dyDescent="0.2">
      <c r="A577" s="32" t="s">
        <v>554</v>
      </c>
      <c r="B577" s="5" t="s">
        <v>547</v>
      </c>
      <c r="C577" s="5" t="s">
        <v>137</v>
      </c>
      <c r="D577" s="2">
        <f>2</f>
        <v>2</v>
      </c>
      <c r="E577" s="5">
        <v>1</v>
      </c>
      <c r="F577" s="6"/>
      <c r="G577" s="7">
        <v>2</v>
      </c>
      <c r="H577" s="7">
        <v>2</v>
      </c>
      <c r="I577" s="39">
        <v>0</v>
      </c>
      <c r="J577" s="39">
        <v>1</v>
      </c>
      <c r="K577" s="39">
        <v>4</v>
      </c>
      <c r="L577" s="39">
        <v>1</v>
      </c>
      <c r="M577" s="39">
        <v>4</v>
      </c>
      <c r="N577" s="39">
        <v>6</v>
      </c>
      <c r="O577" s="39">
        <v>3</v>
      </c>
      <c r="P577" s="39">
        <v>2</v>
      </c>
      <c r="Q577" s="39">
        <v>1</v>
      </c>
      <c r="R577" s="53">
        <v>9</v>
      </c>
      <c r="S577" s="53">
        <v>1</v>
      </c>
      <c r="T577" s="53">
        <v>0</v>
      </c>
      <c r="U577" s="53">
        <f>1+1</f>
        <v>2</v>
      </c>
      <c r="V577" s="53">
        <v>2</v>
      </c>
      <c r="W577" s="53" t="s">
        <v>329</v>
      </c>
      <c r="X577" s="53" t="s">
        <v>329</v>
      </c>
    </row>
    <row r="578" spans="1:24" x14ac:dyDescent="0.2">
      <c r="A578" s="32" t="s">
        <v>555</v>
      </c>
      <c r="B578" s="5" t="s">
        <v>684</v>
      </c>
      <c r="C578" s="5"/>
      <c r="D578" s="2"/>
      <c r="E578" s="5"/>
      <c r="F578" s="6"/>
      <c r="G578" s="7"/>
      <c r="I578" s="39"/>
      <c r="J578" s="39"/>
      <c r="K578" s="39"/>
      <c r="L578" s="39"/>
      <c r="M578" s="39"/>
      <c r="N578" s="39"/>
      <c r="O578" s="39"/>
      <c r="P578" s="39"/>
      <c r="Q578" s="39"/>
      <c r="R578" s="53"/>
      <c r="S578" s="53"/>
      <c r="T578" s="53"/>
      <c r="U578" s="53">
        <v>18</v>
      </c>
      <c r="V578" s="53">
        <v>18</v>
      </c>
      <c r="W578" s="53" t="s">
        <v>329</v>
      </c>
      <c r="X578" s="53" t="s">
        <v>329</v>
      </c>
    </row>
    <row r="579" spans="1:24" hidden="1" outlineLevel="1" x14ac:dyDescent="0.2">
      <c r="A579" s="32" t="s">
        <v>555</v>
      </c>
      <c r="B579" s="5" t="s">
        <v>548</v>
      </c>
      <c r="C579" s="5">
        <f>14</f>
        <v>14</v>
      </c>
      <c r="D579" s="2">
        <f>8</f>
        <v>8</v>
      </c>
      <c r="E579" s="5">
        <v>5</v>
      </c>
      <c r="F579" s="6"/>
      <c r="G579" s="7">
        <v>9</v>
      </c>
      <c r="H579" s="7">
        <v>9</v>
      </c>
      <c r="I579" s="39">
        <v>6</v>
      </c>
      <c r="J579" s="39">
        <v>2</v>
      </c>
      <c r="K579" s="39">
        <v>2</v>
      </c>
      <c r="L579" s="39">
        <v>0</v>
      </c>
      <c r="M579" s="39">
        <v>0</v>
      </c>
      <c r="N579" s="39">
        <v>1</v>
      </c>
      <c r="O579" s="39">
        <v>2</v>
      </c>
      <c r="P579" s="39">
        <v>4</v>
      </c>
      <c r="Q579" s="39">
        <v>1</v>
      </c>
      <c r="R579" s="53">
        <v>2</v>
      </c>
      <c r="S579" s="53">
        <v>6</v>
      </c>
      <c r="T579" s="53">
        <v>5</v>
      </c>
      <c r="U579" s="53"/>
      <c r="V579" s="53"/>
      <c r="W579" s="53"/>
      <c r="X579" s="53"/>
    </row>
    <row r="580" spans="1:24" collapsed="1" x14ac:dyDescent="0.2">
      <c r="A580" s="32" t="s">
        <v>664</v>
      </c>
      <c r="B580" s="5" t="s">
        <v>685</v>
      </c>
      <c r="C580" s="5"/>
      <c r="D580" s="2"/>
      <c r="E580" s="5"/>
      <c r="F580" s="6"/>
      <c r="G580" s="7"/>
      <c r="I580" s="39"/>
      <c r="J580" s="39"/>
      <c r="K580" s="39"/>
      <c r="L580" s="39"/>
      <c r="M580" s="39"/>
      <c r="N580" s="39"/>
      <c r="O580" s="39"/>
      <c r="P580" s="39"/>
      <c r="Q580" s="39"/>
      <c r="R580" s="53"/>
      <c r="S580" s="53"/>
      <c r="T580" s="53"/>
      <c r="U580" s="53">
        <v>2</v>
      </c>
      <c r="V580" s="53">
        <v>11</v>
      </c>
      <c r="W580" s="53" t="s">
        <v>329</v>
      </c>
      <c r="X580" s="53" t="s">
        <v>329</v>
      </c>
    </row>
    <row r="581" spans="1:24" x14ac:dyDescent="0.2">
      <c r="A581" s="32" t="s">
        <v>665</v>
      </c>
      <c r="B581" s="5" t="s">
        <v>548</v>
      </c>
      <c r="C581" s="5"/>
      <c r="D581" s="2"/>
      <c r="E581" s="5"/>
      <c r="F581" s="6"/>
      <c r="G581" s="7"/>
      <c r="I581" s="39"/>
      <c r="J581" s="39"/>
      <c r="K581" s="39"/>
      <c r="L581" s="39"/>
      <c r="M581" s="39"/>
      <c r="N581" s="39"/>
      <c r="O581" s="39"/>
      <c r="P581" s="39"/>
      <c r="Q581" s="39"/>
      <c r="R581" s="53">
        <v>2</v>
      </c>
      <c r="S581" s="53">
        <v>6</v>
      </c>
      <c r="T581" s="53">
        <v>5</v>
      </c>
      <c r="U581" s="53">
        <f>5+2</f>
        <v>7</v>
      </c>
      <c r="V581" s="53">
        <v>0</v>
      </c>
      <c r="W581" s="53" t="s">
        <v>329</v>
      </c>
      <c r="X581" s="53" t="s">
        <v>329</v>
      </c>
    </row>
    <row r="582" spans="1:24" x14ac:dyDescent="0.2">
      <c r="A582" s="32" t="s">
        <v>10</v>
      </c>
      <c r="B582" s="5" t="s">
        <v>549</v>
      </c>
      <c r="C582" s="5" t="s">
        <v>137</v>
      </c>
      <c r="D582" s="2">
        <v>0</v>
      </c>
      <c r="E582" s="5">
        <v>0</v>
      </c>
      <c r="F582" s="6"/>
      <c r="G582" s="7">
        <v>0</v>
      </c>
      <c r="H582" s="7">
        <v>2</v>
      </c>
      <c r="I582" s="39">
        <v>0</v>
      </c>
      <c r="J582" s="39">
        <v>0</v>
      </c>
      <c r="K582" s="39">
        <v>0</v>
      </c>
      <c r="L582" s="39">
        <v>0</v>
      </c>
      <c r="M582" s="39">
        <v>0</v>
      </c>
      <c r="N582" s="39">
        <v>1</v>
      </c>
      <c r="O582" s="39">
        <v>1</v>
      </c>
      <c r="P582" s="39">
        <v>0</v>
      </c>
      <c r="Q582" s="39">
        <v>0</v>
      </c>
      <c r="R582" s="53">
        <v>0</v>
      </c>
      <c r="S582" s="53">
        <v>0</v>
      </c>
      <c r="T582" s="53">
        <v>0</v>
      </c>
      <c r="U582" s="53">
        <v>0</v>
      </c>
      <c r="V582" s="53">
        <v>1</v>
      </c>
      <c r="W582" s="53">
        <v>0</v>
      </c>
      <c r="X582" s="53">
        <v>0</v>
      </c>
    </row>
    <row r="583" spans="1:24" x14ac:dyDescent="0.2">
      <c r="A583" s="32" t="s">
        <v>12</v>
      </c>
      <c r="B583" s="5" t="s">
        <v>550</v>
      </c>
      <c r="C583" s="5">
        <f>4</f>
        <v>4</v>
      </c>
      <c r="D583" s="2">
        <f>7</f>
        <v>7</v>
      </c>
      <c r="E583" s="5">
        <v>7</v>
      </c>
      <c r="F583" s="6"/>
      <c r="G583" s="7">
        <v>7</v>
      </c>
      <c r="H583" s="7">
        <v>5</v>
      </c>
      <c r="I583" s="39">
        <v>5</v>
      </c>
      <c r="J583" s="39">
        <v>7</v>
      </c>
      <c r="K583" s="39">
        <v>2</v>
      </c>
      <c r="L583" s="39">
        <v>7</v>
      </c>
      <c r="M583" s="39">
        <v>4</v>
      </c>
      <c r="N583" s="39">
        <v>8</v>
      </c>
      <c r="O583" s="39">
        <v>9</v>
      </c>
      <c r="P583" s="39">
        <v>11</v>
      </c>
      <c r="Q583" s="39">
        <v>12</v>
      </c>
      <c r="R583" s="53">
        <v>55</v>
      </c>
      <c r="S583" s="53">
        <v>38</v>
      </c>
      <c r="T583" s="53">
        <v>58</v>
      </c>
      <c r="U583" s="53">
        <f>22+19</f>
        <v>41</v>
      </c>
      <c r="V583" s="53">
        <v>56</v>
      </c>
      <c r="W583" s="53">
        <v>40</v>
      </c>
      <c r="X583" s="53">
        <v>51</v>
      </c>
    </row>
    <row r="584" spans="1:24" x14ac:dyDescent="0.2">
      <c r="A584" s="32" t="s">
        <v>55</v>
      </c>
      <c r="B584" s="5" t="s">
        <v>551</v>
      </c>
      <c r="C584" s="5">
        <f>56</f>
        <v>56</v>
      </c>
      <c r="D584" s="2">
        <f>6</f>
        <v>6</v>
      </c>
      <c r="E584" s="5">
        <v>16</v>
      </c>
      <c r="F584" s="6"/>
      <c r="G584" s="7">
        <v>30</v>
      </c>
      <c r="H584" s="7">
        <v>46</v>
      </c>
      <c r="I584" s="39">
        <v>24</v>
      </c>
      <c r="J584" s="39">
        <v>19</v>
      </c>
      <c r="K584" s="39">
        <v>21</v>
      </c>
      <c r="L584" s="39">
        <v>40</v>
      </c>
      <c r="M584" s="39">
        <v>39</v>
      </c>
      <c r="N584" s="39">
        <v>52</v>
      </c>
      <c r="O584" s="39">
        <v>17</v>
      </c>
      <c r="P584" s="39">
        <v>39</v>
      </c>
      <c r="Q584" s="39">
        <v>36</v>
      </c>
      <c r="R584" s="53">
        <v>42</v>
      </c>
      <c r="S584" s="53">
        <v>78</v>
      </c>
      <c r="T584" s="53">
        <v>102</v>
      </c>
      <c r="U584" s="53">
        <f>70+48</f>
        <v>118</v>
      </c>
      <c r="V584" s="53">
        <v>81</v>
      </c>
      <c r="W584" s="53">
        <v>53</v>
      </c>
      <c r="X584" s="53">
        <v>94</v>
      </c>
    </row>
    <row r="585" spans="1:24" x14ac:dyDescent="0.2">
      <c r="A585" s="32" t="s">
        <v>58</v>
      </c>
      <c r="B585" s="5" t="s">
        <v>552</v>
      </c>
      <c r="C585" s="5">
        <f>234</f>
        <v>234</v>
      </c>
      <c r="D585" s="2">
        <f>110</f>
        <v>110</v>
      </c>
      <c r="E585" s="5">
        <v>81</v>
      </c>
      <c r="F585" s="6"/>
      <c r="G585" s="7">
        <v>104</v>
      </c>
      <c r="H585" s="7">
        <v>106</v>
      </c>
      <c r="I585" s="39">
        <v>112</v>
      </c>
      <c r="J585" s="39">
        <v>229</v>
      </c>
      <c r="K585" s="39">
        <v>234</v>
      </c>
      <c r="L585" s="39">
        <v>214</v>
      </c>
      <c r="M585" s="39">
        <v>164</v>
      </c>
      <c r="N585" s="39">
        <v>178</v>
      </c>
      <c r="O585" s="39">
        <v>207</v>
      </c>
      <c r="P585" s="39">
        <v>137</v>
      </c>
      <c r="Q585" s="39">
        <v>106</v>
      </c>
      <c r="R585" s="53">
        <v>84</v>
      </c>
      <c r="S585" s="53">
        <v>60</v>
      </c>
      <c r="T585" s="53">
        <v>53</v>
      </c>
      <c r="U585" s="53">
        <f>39+4</f>
        <v>43</v>
      </c>
      <c r="V585" s="53">
        <v>99</v>
      </c>
      <c r="W585" s="53">
        <v>128</v>
      </c>
      <c r="X585" s="53">
        <v>139</v>
      </c>
    </row>
    <row r="586" spans="1:24" hidden="1" outlineLevel="1" x14ac:dyDescent="0.2">
      <c r="A586" s="32" t="s">
        <v>88</v>
      </c>
      <c r="B586" s="5" t="s">
        <v>56</v>
      </c>
      <c r="C586" s="5"/>
      <c r="D586" s="2"/>
      <c r="E586" s="5"/>
      <c r="F586" s="6"/>
      <c r="G586" s="7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</row>
    <row r="587" spans="1:24" hidden="1" outlineLevel="1" x14ac:dyDescent="0.2">
      <c r="A587" s="32"/>
      <c r="B587" s="5" t="s">
        <v>57</v>
      </c>
      <c r="C587" s="5">
        <f>1.2</f>
        <v>1.2</v>
      </c>
      <c r="D587" s="2">
        <f>1.4</f>
        <v>1.4</v>
      </c>
      <c r="E587" s="5">
        <v>1.2</v>
      </c>
      <c r="F587" s="6"/>
      <c r="G587" s="24">
        <v>2.1</v>
      </c>
      <c r="H587" s="24">
        <v>1.8</v>
      </c>
      <c r="I587" s="40">
        <v>1.3</v>
      </c>
      <c r="J587" s="40">
        <v>1.2</v>
      </c>
      <c r="K587" s="40">
        <v>1.8</v>
      </c>
      <c r="L587" s="40">
        <v>1.9</v>
      </c>
      <c r="M587" s="40">
        <v>1.8</v>
      </c>
      <c r="N587" s="40">
        <v>3.6</v>
      </c>
      <c r="O587" s="40">
        <v>2.2000000000000002</v>
      </c>
      <c r="P587" s="40">
        <v>2</v>
      </c>
      <c r="Q587" s="40">
        <v>1.6</v>
      </c>
      <c r="R587" s="40" t="s">
        <v>329</v>
      </c>
      <c r="S587" s="40" t="s">
        <v>329</v>
      </c>
      <c r="T587" s="40"/>
      <c r="U587" s="40"/>
    </row>
    <row r="588" spans="1:24" hidden="1" outlineLevel="1" x14ac:dyDescent="0.2">
      <c r="A588" s="32"/>
      <c r="B588" s="5"/>
      <c r="C588" s="5"/>
      <c r="D588" s="2"/>
      <c r="E588" s="5"/>
      <c r="F588" s="6"/>
      <c r="G588" s="24"/>
      <c r="H588" s="24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</row>
    <row r="589" spans="1:24" hidden="1" outlineLevel="1" x14ac:dyDescent="0.2">
      <c r="A589" s="32" t="s">
        <v>59</v>
      </c>
      <c r="B589" s="5" t="s">
        <v>556</v>
      </c>
      <c r="C589" s="5"/>
      <c r="D589" s="2"/>
      <c r="E589" s="5"/>
      <c r="F589" s="6"/>
      <c r="G589" s="24"/>
      <c r="H589" s="24"/>
      <c r="I589" s="40"/>
      <c r="J589" s="40"/>
      <c r="K589" s="40"/>
      <c r="L589" s="40"/>
      <c r="M589" s="40"/>
      <c r="N589" s="40"/>
      <c r="O589" s="40"/>
      <c r="P589" s="40"/>
      <c r="Q589" s="40"/>
      <c r="R589" s="53">
        <v>0</v>
      </c>
      <c r="S589" s="53">
        <v>0</v>
      </c>
      <c r="T589" s="53">
        <v>0</v>
      </c>
      <c r="U589" s="53"/>
    </row>
    <row r="590" spans="1:24" collapsed="1" x14ac:dyDescent="0.2">
      <c r="A590" s="32"/>
      <c r="B590" s="5"/>
      <c r="C590" s="5"/>
      <c r="D590" s="2"/>
      <c r="E590" s="5"/>
      <c r="F590" s="6"/>
      <c r="G590" s="24"/>
      <c r="H590" s="24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</row>
    <row r="591" spans="1:24" x14ac:dyDescent="0.2">
      <c r="A591" s="5"/>
      <c r="B591" s="6" t="s">
        <v>184</v>
      </c>
      <c r="C591" s="5"/>
      <c r="D591" s="2"/>
      <c r="E591" s="5"/>
      <c r="F591" s="6"/>
      <c r="G591" s="7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</row>
    <row r="592" spans="1:24" x14ac:dyDescent="0.2">
      <c r="A592" s="5"/>
      <c r="B592" s="6"/>
      <c r="C592" s="5"/>
      <c r="D592" s="2"/>
      <c r="E592" s="5"/>
      <c r="F592" s="6"/>
      <c r="G592" s="7"/>
      <c r="I592" s="39"/>
      <c r="J592" s="39"/>
      <c r="K592" s="39"/>
      <c r="L592" s="39"/>
      <c r="M592" s="39"/>
      <c r="N592" s="39"/>
      <c r="O592" s="39"/>
      <c r="P592" s="39"/>
      <c r="Q592" s="39"/>
      <c r="R592" s="38">
        <v>2006</v>
      </c>
      <c r="S592" s="38">
        <v>2007</v>
      </c>
      <c r="T592" s="38">
        <v>2008</v>
      </c>
      <c r="U592" s="38">
        <v>2009</v>
      </c>
      <c r="V592" s="38">
        <v>2010</v>
      </c>
      <c r="W592" s="38">
        <v>2011</v>
      </c>
      <c r="X592" s="38">
        <v>2012</v>
      </c>
    </row>
    <row r="593" spans="1:24" x14ac:dyDescent="0.2">
      <c r="A593" s="6" t="s">
        <v>340</v>
      </c>
      <c r="B593" s="6" t="s">
        <v>515</v>
      </c>
      <c r="C593" s="5"/>
      <c r="D593" s="2"/>
      <c r="E593" s="5"/>
      <c r="F593" s="6"/>
      <c r="G593" s="7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</row>
    <row r="594" spans="1:24" x14ac:dyDescent="0.2">
      <c r="A594" s="5" t="s">
        <v>4</v>
      </c>
      <c r="B594" s="5" t="s">
        <v>61</v>
      </c>
      <c r="C594" s="5">
        <f>9</f>
        <v>9</v>
      </c>
      <c r="D594" s="2">
        <v>0</v>
      </c>
      <c r="E594" s="5">
        <v>6</v>
      </c>
      <c r="F594" s="29" t="s">
        <v>7</v>
      </c>
      <c r="G594" s="7">
        <v>6</v>
      </c>
      <c r="H594" s="7">
        <v>5</v>
      </c>
      <c r="I594" s="39">
        <v>5</v>
      </c>
      <c r="J594" s="39">
        <v>2</v>
      </c>
      <c r="K594" s="39">
        <v>3</v>
      </c>
      <c r="L594" s="39">
        <v>3</v>
      </c>
      <c r="M594" s="39">
        <v>2</v>
      </c>
      <c r="N594" s="39">
        <v>1</v>
      </c>
      <c r="O594" s="39">
        <v>2</v>
      </c>
      <c r="P594" s="39">
        <v>2</v>
      </c>
      <c r="Q594" s="39">
        <v>0</v>
      </c>
      <c r="R594" s="39">
        <v>0</v>
      </c>
      <c r="S594" s="39">
        <v>1</v>
      </c>
      <c r="T594" s="39">
        <v>0</v>
      </c>
      <c r="U594" s="39">
        <v>0</v>
      </c>
      <c r="V594" s="39">
        <v>0</v>
      </c>
      <c r="W594" s="39">
        <v>0</v>
      </c>
      <c r="X594" s="39">
        <v>1</v>
      </c>
    </row>
    <row r="595" spans="1:24" x14ac:dyDescent="0.2">
      <c r="A595" s="5" t="s">
        <v>59</v>
      </c>
      <c r="B595" s="5" t="s">
        <v>9</v>
      </c>
      <c r="C595" s="5">
        <f>10</f>
        <v>10</v>
      </c>
      <c r="D595" s="2">
        <f>1</f>
        <v>1</v>
      </c>
      <c r="E595" s="5">
        <v>3</v>
      </c>
      <c r="F595" s="29" t="s">
        <v>7</v>
      </c>
      <c r="G595" s="7">
        <v>6</v>
      </c>
      <c r="H595" s="7">
        <v>6</v>
      </c>
      <c r="I595" s="39">
        <v>2</v>
      </c>
      <c r="J595" s="39">
        <v>3</v>
      </c>
      <c r="K595" s="39">
        <v>4</v>
      </c>
      <c r="L595" s="39">
        <v>4</v>
      </c>
      <c r="M595" s="39">
        <v>1</v>
      </c>
      <c r="N595" s="39">
        <v>1</v>
      </c>
      <c r="O595" s="39">
        <v>2</v>
      </c>
      <c r="P595" s="39">
        <v>2</v>
      </c>
      <c r="Q595" s="39">
        <v>1</v>
      </c>
      <c r="R595" s="39">
        <v>0</v>
      </c>
      <c r="S595" s="39">
        <v>0</v>
      </c>
      <c r="T595" s="39">
        <v>0</v>
      </c>
      <c r="U595" s="39">
        <v>0</v>
      </c>
      <c r="V595" s="39">
        <v>0</v>
      </c>
      <c r="W595" s="39">
        <v>0</v>
      </c>
      <c r="X595" s="39">
        <v>0</v>
      </c>
    </row>
    <row r="596" spans="1:24" x14ac:dyDescent="0.2">
      <c r="A596" s="5" t="s">
        <v>80</v>
      </c>
      <c r="B596" s="5" t="s">
        <v>64</v>
      </c>
      <c r="C596" s="5">
        <f>5</f>
        <v>5</v>
      </c>
      <c r="D596" s="2">
        <f>1</f>
        <v>1</v>
      </c>
      <c r="E596" s="5">
        <v>4</v>
      </c>
      <c r="F596" s="29" t="s">
        <v>7</v>
      </c>
      <c r="G596" s="7">
        <v>4</v>
      </c>
      <c r="H596" s="7">
        <v>2</v>
      </c>
      <c r="I596" s="39">
        <v>4</v>
      </c>
      <c r="J596" s="39">
        <v>3</v>
      </c>
      <c r="K596" s="39">
        <v>2</v>
      </c>
      <c r="L596" s="39">
        <v>1</v>
      </c>
      <c r="M596" s="39">
        <v>1</v>
      </c>
      <c r="N596" s="39">
        <v>1</v>
      </c>
      <c r="O596" s="39">
        <v>1</v>
      </c>
      <c r="P596" s="39">
        <v>0</v>
      </c>
      <c r="Q596" s="39">
        <v>0</v>
      </c>
      <c r="R596" s="39">
        <v>0</v>
      </c>
      <c r="S596" s="39">
        <v>1</v>
      </c>
      <c r="T596" s="39">
        <v>1</v>
      </c>
      <c r="U596" s="39">
        <v>0</v>
      </c>
      <c r="V596" s="39">
        <v>0</v>
      </c>
      <c r="W596" s="39">
        <v>0</v>
      </c>
      <c r="X596" s="39">
        <v>1</v>
      </c>
    </row>
    <row r="597" spans="1:24" x14ac:dyDescent="0.2">
      <c r="A597" s="5"/>
      <c r="B597" s="5"/>
      <c r="C597" s="5"/>
      <c r="D597" s="2"/>
      <c r="E597" s="5"/>
      <c r="F597" s="6"/>
      <c r="G597" s="7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</row>
    <row r="598" spans="1:24" x14ac:dyDescent="0.2">
      <c r="A598" s="6" t="s">
        <v>341</v>
      </c>
      <c r="B598" s="6" t="s">
        <v>517</v>
      </c>
      <c r="C598" s="5"/>
      <c r="D598" s="2"/>
      <c r="E598" s="5"/>
      <c r="F598" s="6"/>
      <c r="G598" s="7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</row>
    <row r="599" spans="1:24" x14ac:dyDescent="0.2">
      <c r="A599" s="5" t="s">
        <v>4</v>
      </c>
      <c r="B599" s="5" t="s">
        <v>61</v>
      </c>
      <c r="C599" s="5">
        <f>272</f>
        <v>272</v>
      </c>
      <c r="D599" s="2">
        <f>199</f>
        <v>199</v>
      </c>
      <c r="E599" s="5">
        <v>204</v>
      </c>
      <c r="F599" s="29" t="s">
        <v>7</v>
      </c>
      <c r="G599" s="7">
        <v>199</v>
      </c>
      <c r="H599" s="7">
        <v>258</v>
      </c>
      <c r="I599" s="39">
        <v>251</v>
      </c>
      <c r="J599" s="39">
        <v>250</v>
      </c>
      <c r="K599" s="39">
        <v>264</v>
      </c>
      <c r="L599" s="39">
        <v>234</v>
      </c>
      <c r="M599" s="39">
        <v>212</v>
      </c>
      <c r="N599" s="39">
        <v>204</v>
      </c>
      <c r="O599" s="39">
        <v>207</v>
      </c>
      <c r="P599" s="39">
        <v>263</v>
      </c>
      <c r="Q599" s="39">
        <v>253</v>
      </c>
      <c r="R599" s="39">
        <v>257</v>
      </c>
      <c r="S599" s="39">
        <v>232</v>
      </c>
      <c r="T599" s="39">
        <v>214</v>
      </c>
      <c r="U599" s="39">
        <v>185</v>
      </c>
      <c r="V599" s="39">
        <v>182</v>
      </c>
      <c r="W599" s="39">
        <v>190</v>
      </c>
      <c r="X599" s="39">
        <v>238</v>
      </c>
    </row>
    <row r="600" spans="1:24" x14ac:dyDescent="0.2">
      <c r="A600" s="5" t="s">
        <v>59</v>
      </c>
      <c r="B600" s="5" t="s">
        <v>9</v>
      </c>
      <c r="C600" s="5">
        <f>261</f>
        <v>261</v>
      </c>
      <c r="D600" s="2">
        <f>198</f>
        <v>198</v>
      </c>
      <c r="E600" s="5">
        <v>198</v>
      </c>
      <c r="F600" s="29" t="s">
        <v>7</v>
      </c>
      <c r="G600" s="7">
        <v>197</v>
      </c>
      <c r="H600" s="7">
        <v>245</v>
      </c>
      <c r="I600" s="39">
        <v>255</v>
      </c>
      <c r="J600" s="39">
        <v>243</v>
      </c>
      <c r="K600" s="39">
        <v>272</v>
      </c>
      <c r="L600" s="39">
        <v>230</v>
      </c>
      <c r="M600" s="39">
        <v>232</v>
      </c>
      <c r="N600" s="39">
        <v>200</v>
      </c>
      <c r="O600" s="39">
        <v>198</v>
      </c>
      <c r="P600" s="39">
        <v>269</v>
      </c>
      <c r="Q600" s="39">
        <v>242</v>
      </c>
      <c r="R600" s="39">
        <v>260</v>
      </c>
      <c r="S600" s="39">
        <v>216</v>
      </c>
      <c r="T600" s="39">
        <v>226</v>
      </c>
      <c r="U600" s="39">
        <v>173</v>
      </c>
      <c r="V600" s="39">
        <v>175</v>
      </c>
      <c r="W600" s="39">
        <v>179</v>
      </c>
      <c r="X600" s="39">
        <v>175</v>
      </c>
    </row>
    <row r="601" spans="1:24" x14ac:dyDescent="0.2">
      <c r="A601" s="5" t="s">
        <v>80</v>
      </c>
      <c r="B601" s="5" t="s">
        <v>64</v>
      </c>
      <c r="C601" s="5">
        <f>66</f>
        <v>66</v>
      </c>
      <c r="D601" s="2">
        <f>13</f>
        <v>13</v>
      </c>
      <c r="E601" s="5">
        <v>18</v>
      </c>
      <c r="F601" s="29" t="s">
        <v>7</v>
      </c>
      <c r="G601" s="7">
        <v>20</v>
      </c>
      <c r="H601" s="7">
        <v>33</v>
      </c>
      <c r="I601" s="39">
        <v>27</v>
      </c>
      <c r="J601" s="39">
        <v>38</v>
      </c>
      <c r="K601" s="39">
        <v>30</v>
      </c>
      <c r="L601" s="39">
        <v>34</v>
      </c>
      <c r="M601" s="39">
        <v>13</v>
      </c>
      <c r="N601" s="39">
        <v>17</v>
      </c>
      <c r="O601" s="39">
        <v>26</v>
      </c>
      <c r="P601" s="39">
        <v>20</v>
      </c>
      <c r="Q601" s="39">
        <v>30</v>
      </c>
      <c r="R601" s="39">
        <v>26</v>
      </c>
      <c r="S601" s="39">
        <v>40</v>
      </c>
      <c r="T601" s="39">
        <v>28</v>
      </c>
      <c r="U601" s="39">
        <v>40</v>
      </c>
      <c r="V601" s="39">
        <v>46</v>
      </c>
      <c r="W601" s="39">
        <v>57</v>
      </c>
      <c r="X601" s="39">
        <v>120</v>
      </c>
    </row>
    <row r="602" spans="1:24" x14ac:dyDescent="0.2">
      <c r="A602" s="5" t="s">
        <v>82</v>
      </c>
      <c r="B602" s="5" t="s">
        <v>456</v>
      </c>
      <c r="C602" s="5"/>
      <c r="D602" s="2"/>
      <c r="E602" s="5"/>
      <c r="F602" s="6"/>
      <c r="G602" s="7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</row>
    <row r="603" spans="1:24" x14ac:dyDescent="0.2">
      <c r="A603" s="5" t="s">
        <v>84</v>
      </c>
      <c r="B603" s="5" t="s">
        <v>489</v>
      </c>
      <c r="C603" s="5">
        <f>259</f>
        <v>259</v>
      </c>
      <c r="D603" s="2">
        <f>198</f>
        <v>198</v>
      </c>
      <c r="E603" s="5"/>
      <c r="F603" s="6"/>
      <c r="G603" s="7">
        <v>197</v>
      </c>
      <c r="H603" s="7">
        <v>245</v>
      </c>
      <c r="I603" s="39">
        <v>255</v>
      </c>
      <c r="J603" s="39">
        <v>243</v>
      </c>
      <c r="K603" s="39">
        <v>272</v>
      </c>
      <c r="L603" s="39">
        <v>226</v>
      </c>
      <c r="M603" s="39">
        <v>232</v>
      </c>
      <c r="N603" s="39">
        <v>200</v>
      </c>
      <c r="O603" s="39">
        <v>198</v>
      </c>
      <c r="P603" s="39">
        <v>268</v>
      </c>
      <c r="Q603" s="39">
        <v>240</v>
      </c>
      <c r="R603" s="39">
        <v>259</v>
      </c>
      <c r="S603" s="39">
        <v>216</v>
      </c>
      <c r="T603" s="39">
        <v>226</v>
      </c>
      <c r="U603" s="39">
        <v>173</v>
      </c>
      <c r="V603" s="39">
        <v>175</v>
      </c>
      <c r="W603" s="39">
        <v>179</v>
      </c>
      <c r="X603" s="39">
        <v>175</v>
      </c>
    </row>
    <row r="604" spans="1:24" x14ac:dyDescent="0.2">
      <c r="A604" s="5" t="s">
        <v>85</v>
      </c>
      <c r="B604" s="5" t="s">
        <v>491</v>
      </c>
      <c r="C604" s="5">
        <f>2</f>
        <v>2</v>
      </c>
      <c r="D604" s="2">
        <v>0</v>
      </c>
      <c r="E604" s="5"/>
      <c r="F604" s="96"/>
      <c r="G604" s="7">
        <v>0</v>
      </c>
      <c r="H604" s="7">
        <v>0</v>
      </c>
      <c r="I604" s="39">
        <v>0</v>
      </c>
      <c r="J604" s="39">
        <v>0</v>
      </c>
      <c r="K604" s="39">
        <v>0</v>
      </c>
      <c r="L604" s="39">
        <v>4</v>
      </c>
      <c r="M604" s="39">
        <v>0</v>
      </c>
      <c r="N604" s="39">
        <v>0</v>
      </c>
      <c r="O604" s="39">
        <v>0</v>
      </c>
      <c r="P604" s="39">
        <v>1</v>
      </c>
      <c r="Q604" s="39">
        <v>2</v>
      </c>
      <c r="R604" s="39">
        <v>1</v>
      </c>
      <c r="S604" s="39">
        <v>0</v>
      </c>
      <c r="T604" s="39">
        <v>0</v>
      </c>
      <c r="U604" s="39">
        <v>0</v>
      </c>
      <c r="V604" s="39">
        <v>0</v>
      </c>
      <c r="W604" s="39">
        <v>0</v>
      </c>
      <c r="X604" s="39">
        <v>0</v>
      </c>
    </row>
    <row r="605" spans="1:24" x14ac:dyDescent="0.2">
      <c r="A605" s="5"/>
      <c r="B605" s="5"/>
      <c r="C605" s="5"/>
      <c r="D605" s="2"/>
      <c r="E605" s="5"/>
      <c r="F605" s="98"/>
      <c r="G605" s="7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</row>
    <row r="606" spans="1:24" x14ac:dyDescent="0.2">
      <c r="A606" s="5" t="s">
        <v>88</v>
      </c>
      <c r="B606" s="5" t="s">
        <v>144</v>
      </c>
      <c r="C606" s="5"/>
      <c r="D606" s="2"/>
      <c r="E606" s="5"/>
      <c r="F606" s="6"/>
      <c r="G606" s="7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</row>
    <row r="607" spans="1:24" x14ac:dyDescent="0.2">
      <c r="A607" s="5"/>
      <c r="B607" s="5" t="s">
        <v>57</v>
      </c>
      <c r="C607" s="5">
        <f>0.9</f>
        <v>0.9</v>
      </c>
      <c r="D607" s="34">
        <f>1</f>
        <v>1</v>
      </c>
      <c r="E607" s="5"/>
      <c r="F607" s="6"/>
      <c r="G607" s="24">
        <v>1</v>
      </c>
      <c r="H607" s="24">
        <v>1.1000000000000001</v>
      </c>
      <c r="I607" s="40">
        <v>1.2</v>
      </c>
      <c r="J607" s="40">
        <v>1</v>
      </c>
      <c r="K607" s="40">
        <v>1.2</v>
      </c>
      <c r="L607" s="40">
        <v>1.4</v>
      </c>
      <c r="M607" s="40">
        <v>1.2</v>
      </c>
      <c r="N607" s="40">
        <v>1.2</v>
      </c>
      <c r="O607" s="40">
        <v>1.1000000000000001</v>
      </c>
      <c r="P607" s="40">
        <v>1.5</v>
      </c>
      <c r="Q607" s="40">
        <v>1.5</v>
      </c>
      <c r="R607" s="40">
        <v>1.7</v>
      </c>
      <c r="S607" s="40">
        <v>1.8</v>
      </c>
      <c r="T607" s="40">
        <v>1.8</v>
      </c>
      <c r="U607" s="40">
        <v>2.2000000000000002</v>
      </c>
      <c r="V607" s="40">
        <v>2.1</v>
      </c>
      <c r="W607" s="40">
        <v>2.5</v>
      </c>
      <c r="X607" s="40">
        <v>3.5</v>
      </c>
    </row>
    <row r="608" spans="1:24" x14ac:dyDescent="0.2">
      <c r="A608" s="5"/>
      <c r="B608" s="5"/>
      <c r="C608" s="5"/>
      <c r="D608" s="2"/>
      <c r="E608" s="5"/>
      <c r="F608" s="6"/>
      <c r="G608" s="7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</row>
    <row r="609" spans="1:24" x14ac:dyDescent="0.2">
      <c r="A609" s="6" t="s">
        <v>338</v>
      </c>
      <c r="B609" s="6" t="s">
        <v>342</v>
      </c>
      <c r="C609" s="5"/>
      <c r="D609" s="2"/>
      <c r="E609" s="5"/>
      <c r="F609" s="6"/>
      <c r="G609" s="7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</row>
    <row r="610" spans="1:24" x14ac:dyDescent="0.2">
      <c r="A610" s="5" t="s">
        <v>4</v>
      </c>
      <c r="B610" s="5" t="s">
        <v>61</v>
      </c>
      <c r="C610" s="5">
        <f>103</f>
        <v>103</v>
      </c>
      <c r="D610" s="2">
        <f>114</f>
        <v>114</v>
      </c>
      <c r="E610" s="5">
        <v>104</v>
      </c>
      <c r="F610" s="29" t="s">
        <v>7</v>
      </c>
      <c r="G610" s="7">
        <v>132</v>
      </c>
      <c r="H610" s="7">
        <v>185</v>
      </c>
      <c r="I610" s="39">
        <v>143</v>
      </c>
      <c r="J610" s="39">
        <v>152</v>
      </c>
      <c r="K610" s="39">
        <v>146</v>
      </c>
      <c r="L610" s="39">
        <v>120</v>
      </c>
      <c r="M610" s="39">
        <v>109</v>
      </c>
      <c r="N610" s="39">
        <v>89</v>
      </c>
      <c r="O610" s="39">
        <v>101</v>
      </c>
      <c r="P610" s="39">
        <v>109</v>
      </c>
      <c r="Q610" s="39">
        <v>144</v>
      </c>
      <c r="R610" s="39">
        <v>192</v>
      </c>
      <c r="S610" s="39">
        <v>158</v>
      </c>
      <c r="T610" s="39">
        <v>158</v>
      </c>
      <c r="U610" s="39">
        <v>130</v>
      </c>
      <c r="V610" s="39">
        <v>188</v>
      </c>
      <c r="W610" s="39">
        <v>174</v>
      </c>
      <c r="X610" s="39">
        <v>192</v>
      </c>
    </row>
    <row r="611" spans="1:24" x14ac:dyDescent="0.2">
      <c r="A611" s="5" t="s">
        <v>59</v>
      </c>
      <c r="B611" s="5" t="s">
        <v>9</v>
      </c>
      <c r="C611" s="5">
        <f>113</f>
        <v>113</v>
      </c>
      <c r="D611" s="2">
        <f>106</f>
        <v>106</v>
      </c>
      <c r="E611" s="5">
        <v>110</v>
      </c>
      <c r="F611" s="29" t="s">
        <v>7</v>
      </c>
      <c r="G611" s="7">
        <v>128</v>
      </c>
      <c r="H611" s="7">
        <v>173</v>
      </c>
      <c r="I611" s="39">
        <v>155</v>
      </c>
      <c r="J611" s="39">
        <v>149</v>
      </c>
      <c r="K611" s="39">
        <v>150</v>
      </c>
      <c r="L611" s="39">
        <v>115</v>
      </c>
      <c r="M611" s="39">
        <v>112</v>
      </c>
      <c r="N611" s="39">
        <v>93</v>
      </c>
      <c r="O611" s="39">
        <v>93</v>
      </c>
      <c r="P611" s="39">
        <v>117</v>
      </c>
      <c r="Q611" s="39">
        <v>135</v>
      </c>
      <c r="R611" s="39">
        <v>182</v>
      </c>
      <c r="S611" s="39">
        <v>176</v>
      </c>
      <c r="T611" s="39">
        <v>141</v>
      </c>
      <c r="U611" s="39">
        <v>138</v>
      </c>
      <c r="V611" s="39">
        <v>195</v>
      </c>
      <c r="W611" s="39">
        <v>167</v>
      </c>
      <c r="X611" s="39">
        <v>191</v>
      </c>
    </row>
    <row r="612" spans="1:24" x14ac:dyDescent="0.2">
      <c r="A612" s="5" t="s">
        <v>80</v>
      </c>
      <c r="B612" s="5" t="s">
        <v>64</v>
      </c>
      <c r="C612" s="5">
        <f>23</f>
        <v>23</v>
      </c>
      <c r="D612" s="2">
        <f>11</f>
        <v>11</v>
      </c>
      <c r="E612" s="5">
        <v>5</v>
      </c>
      <c r="F612" s="29" t="s">
        <v>7</v>
      </c>
      <c r="G612" s="7">
        <v>8</v>
      </c>
      <c r="H612" s="7">
        <v>21</v>
      </c>
      <c r="I612" s="39">
        <v>3</v>
      </c>
      <c r="J612" s="39">
        <v>6</v>
      </c>
      <c r="K612" s="39">
        <v>3</v>
      </c>
      <c r="L612" s="39">
        <v>8</v>
      </c>
      <c r="M612" s="39">
        <v>5</v>
      </c>
      <c r="N612" s="39">
        <v>1</v>
      </c>
      <c r="O612" s="39">
        <v>10</v>
      </c>
      <c r="P612" s="39">
        <v>2</v>
      </c>
      <c r="Q612" s="39">
        <v>8</v>
      </c>
      <c r="R612" s="39">
        <v>23</v>
      </c>
      <c r="S612" s="39">
        <v>3</v>
      </c>
      <c r="T612" s="39">
        <v>20</v>
      </c>
      <c r="U612" s="39">
        <v>12</v>
      </c>
      <c r="V612" s="39">
        <v>9</v>
      </c>
      <c r="W612" s="39">
        <v>16</v>
      </c>
      <c r="X612" s="39">
        <v>17</v>
      </c>
    </row>
    <row r="613" spans="1:24" x14ac:dyDescent="0.2">
      <c r="A613" s="5" t="s">
        <v>82</v>
      </c>
      <c r="B613" s="5" t="s">
        <v>456</v>
      </c>
      <c r="C613" s="5"/>
      <c r="D613" s="2"/>
      <c r="E613" s="5"/>
      <c r="F613" s="6"/>
      <c r="G613" s="7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</row>
    <row r="614" spans="1:24" x14ac:dyDescent="0.2">
      <c r="A614" s="5" t="s">
        <v>84</v>
      </c>
      <c r="B614" s="5" t="s">
        <v>566</v>
      </c>
      <c r="C614" s="5">
        <f>60</f>
        <v>60</v>
      </c>
      <c r="D614" s="2">
        <f>56</f>
        <v>56</v>
      </c>
      <c r="E614" s="5" t="s">
        <v>16</v>
      </c>
      <c r="F614" s="6"/>
      <c r="G614" s="7">
        <v>64</v>
      </c>
      <c r="H614" s="7">
        <v>106</v>
      </c>
      <c r="I614" s="39">
        <v>102</v>
      </c>
      <c r="J614" s="39">
        <v>69</v>
      </c>
      <c r="K614" s="39">
        <v>64</v>
      </c>
      <c r="L614" s="39">
        <v>60</v>
      </c>
      <c r="M614" s="39">
        <v>53</v>
      </c>
      <c r="N614" s="39">
        <v>93</v>
      </c>
      <c r="O614" s="39">
        <v>44</v>
      </c>
      <c r="P614" s="39">
        <v>46</v>
      </c>
      <c r="Q614" s="39">
        <v>58</v>
      </c>
      <c r="R614" s="39">
        <v>72</v>
      </c>
      <c r="S614" s="39">
        <v>80</v>
      </c>
      <c r="T614" s="39">
        <v>55</v>
      </c>
      <c r="U614" s="39">
        <v>45</v>
      </c>
      <c r="V614" s="39">
        <v>84</v>
      </c>
      <c r="W614" s="39">
        <v>78</v>
      </c>
      <c r="X614" s="39">
        <v>78</v>
      </c>
    </row>
    <row r="615" spans="1:24" x14ac:dyDescent="0.2">
      <c r="A615" s="5" t="s">
        <v>85</v>
      </c>
      <c r="B615" s="5" t="s">
        <v>567</v>
      </c>
      <c r="C615" s="5">
        <f>3</f>
        <v>3</v>
      </c>
      <c r="D615" s="2">
        <f>6</f>
        <v>6</v>
      </c>
      <c r="E615" s="5" t="s">
        <v>19</v>
      </c>
      <c r="F615" s="6"/>
      <c r="G615" s="7">
        <v>9</v>
      </c>
      <c r="H615" s="7">
        <v>9</v>
      </c>
      <c r="I615" s="39">
        <v>7</v>
      </c>
      <c r="J615" s="39">
        <v>4</v>
      </c>
      <c r="K615" s="39">
        <v>7</v>
      </c>
      <c r="L615" s="39">
        <v>1</v>
      </c>
      <c r="M615" s="39">
        <v>2</v>
      </c>
      <c r="N615" s="39">
        <v>0</v>
      </c>
      <c r="O615" s="39">
        <v>0</v>
      </c>
      <c r="P615" s="39">
        <v>1</v>
      </c>
      <c r="Q615" s="39">
        <v>1</v>
      </c>
      <c r="R615" s="39">
        <v>1</v>
      </c>
      <c r="S615" s="39">
        <v>2</v>
      </c>
      <c r="T615" s="39">
        <v>2</v>
      </c>
      <c r="U615" s="39">
        <v>3</v>
      </c>
      <c r="V615" s="39">
        <v>3</v>
      </c>
      <c r="W615" s="39">
        <v>1</v>
      </c>
      <c r="X615" s="39">
        <v>2</v>
      </c>
    </row>
    <row r="616" spans="1:24" x14ac:dyDescent="0.2">
      <c r="A616" s="5" t="s">
        <v>86</v>
      </c>
      <c r="B616" s="5" t="s">
        <v>568</v>
      </c>
      <c r="C616" s="5">
        <f>50</f>
        <v>50</v>
      </c>
      <c r="D616" s="2">
        <f>44</f>
        <v>44</v>
      </c>
      <c r="E616" s="5" t="s">
        <v>22</v>
      </c>
      <c r="F616" s="6"/>
      <c r="G616" s="7">
        <v>55</v>
      </c>
      <c r="H616" s="7">
        <v>58</v>
      </c>
      <c r="I616" s="39">
        <v>46</v>
      </c>
      <c r="J616" s="39">
        <v>76</v>
      </c>
      <c r="K616" s="39">
        <v>79</v>
      </c>
      <c r="L616" s="39">
        <v>54</v>
      </c>
      <c r="M616" s="39">
        <v>57</v>
      </c>
      <c r="N616" s="39">
        <v>44</v>
      </c>
      <c r="O616" s="39">
        <v>49</v>
      </c>
      <c r="P616" s="39">
        <v>70</v>
      </c>
      <c r="Q616" s="39">
        <v>76</v>
      </c>
      <c r="R616" s="39">
        <v>109</v>
      </c>
      <c r="S616" s="39">
        <v>94</v>
      </c>
      <c r="T616" s="39">
        <v>84</v>
      </c>
      <c r="U616" s="39">
        <v>90</v>
      </c>
      <c r="V616" s="39">
        <v>108</v>
      </c>
      <c r="W616" s="39">
        <v>88</v>
      </c>
      <c r="X616" s="39">
        <v>111</v>
      </c>
    </row>
    <row r="617" spans="1:24" x14ac:dyDescent="0.2">
      <c r="A617" s="5"/>
      <c r="B617" s="5"/>
      <c r="C617" s="5"/>
      <c r="D617" s="2"/>
      <c r="E617" s="5" t="s">
        <v>25</v>
      </c>
      <c r="F617" s="6"/>
      <c r="G617" s="7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</row>
    <row r="618" spans="1:24" x14ac:dyDescent="0.2">
      <c r="A618" s="5" t="s">
        <v>88</v>
      </c>
      <c r="B618" s="5" t="s">
        <v>144</v>
      </c>
      <c r="C618" s="5"/>
      <c r="D618" s="2"/>
      <c r="E618" s="5" t="s">
        <v>162</v>
      </c>
      <c r="F618" s="6"/>
      <c r="G618" s="7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</row>
    <row r="619" spans="1:24" x14ac:dyDescent="0.2">
      <c r="A619" s="5"/>
      <c r="B619" s="5" t="s">
        <v>57</v>
      </c>
      <c r="C619" s="5">
        <f>0.7</f>
        <v>0.7</v>
      </c>
      <c r="D619" s="2">
        <f>0.7</f>
        <v>0.7</v>
      </c>
      <c r="E619" s="5" t="s">
        <v>164</v>
      </c>
      <c r="F619" s="6"/>
      <c r="G619" s="24">
        <v>0.6</v>
      </c>
      <c r="H619" s="24">
        <v>0.8</v>
      </c>
      <c r="I619" s="40">
        <v>0.9</v>
      </c>
      <c r="J619" s="40">
        <v>0.6</v>
      </c>
      <c r="K619" s="40">
        <v>0.5</v>
      </c>
      <c r="L619" s="40">
        <v>0.8</v>
      </c>
      <c r="M619" s="40">
        <v>1</v>
      </c>
      <c r="N619" s="40">
        <v>0.9</v>
      </c>
      <c r="O619" s="40">
        <v>0.7</v>
      </c>
      <c r="P619" s="40">
        <v>0.7</v>
      </c>
      <c r="Q619" s="40">
        <v>0.9</v>
      </c>
      <c r="R619" s="40">
        <v>1.1000000000000001</v>
      </c>
      <c r="S619" s="40">
        <v>1</v>
      </c>
      <c r="T619" s="40">
        <v>0.8</v>
      </c>
      <c r="U619" s="40">
        <v>1.5</v>
      </c>
      <c r="V619" s="40">
        <v>1.1000000000000001</v>
      </c>
      <c r="W619" s="40">
        <v>0.9</v>
      </c>
      <c r="X619" s="40">
        <v>1.3</v>
      </c>
    </row>
    <row r="620" spans="1:24" x14ac:dyDescent="0.2">
      <c r="A620" s="5"/>
      <c r="B620" s="5"/>
      <c r="C620" s="5"/>
      <c r="D620" s="2"/>
      <c r="E620" s="5" t="s">
        <v>166</v>
      </c>
      <c r="F620" s="6"/>
      <c r="G620" s="7"/>
      <c r="I620" s="39"/>
      <c r="J620" s="39"/>
      <c r="K620" s="39"/>
      <c r="L620" s="39"/>
      <c r="M620" s="39"/>
      <c r="N620" s="39"/>
      <c r="O620" s="39"/>
      <c r="V620" s="7"/>
    </row>
    <row r="621" spans="1:24" x14ac:dyDescent="0.2">
      <c r="A621" s="6" t="s">
        <v>123</v>
      </c>
      <c r="B621" s="6" t="s">
        <v>343</v>
      </c>
      <c r="C621" s="5"/>
      <c r="D621" s="2"/>
      <c r="E621" s="5" t="s">
        <v>167</v>
      </c>
      <c r="F621" s="6"/>
      <c r="G621" s="7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</row>
    <row r="622" spans="1:24" x14ac:dyDescent="0.2">
      <c r="A622" s="5" t="s">
        <v>4</v>
      </c>
      <c r="B622" s="5" t="s">
        <v>569</v>
      </c>
      <c r="C622" s="5">
        <f>11</f>
        <v>11</v>
      </c>
      <c r="D622" s="2">
        <f>38</f>
        <v>38</v>
      </c>
      <c r="E622" s="5" t="s">
        <v>169</v>
      </c>
      <c r="F622" s="6"/>
      <c r="G622" s="7">
        <v>31</v>
      </c>
      <c r="H622" s="7">
        <v>36</v>
      </c>
      <c r="I622" s="39">
        <v>59</v>
      </c>
      <c r="J622" s="39">
        <v>100</v>
      </c>
      <c r="K622" s="39">
        <v>109</v>
      </c>
      <c r="L622" s="39">
        <v>91</v>
      </c>
      <c r="M622" s="39">
        <v>99</v>
      </c>
      <c r="N622" s="39">
        <v>128</v>
      </c>
      <c r="O622" s="39">
        <v>130</v>
      </c>
      <c r="P622" s="39">
        <v>141</v>
      </c>
      <c r="Q622" s="39">
        <v>142</v>
      </c>
      <c r="R622" s="39">
        <v>134</v>
      </c>
      <c r="S622" s="39">
        <v>68</v>
      </c>
      <c r="T622" s="39">
        <v>75</v>
      </c>
      <c r="U622" s="39">
        <v>89</v>
      </c>
      <c r="V622" s="39">
        <v>79</v>
      </c>
      <c r="W622" s="39">
        <v>49</v>
      </c>
      <c r="X622" s="39">
        <v>34</v>
      </c>
    </row>
    <row r="623" spans="1:24" x14ac:dyDescent="0.2">
      <c r="A623" s="5" t="s">
        <v>59</v>
      </c>
      <c r="B623" s="5" t="s">
        <v>436</v>
      </c>
      <c r="C623" s="5">
        <f>776</f>
        <v>776</v>
      </c>
      <c r="D623" s="2">
        <f>586</f>
        <v>586</v>
      </c>
      <c r="E623" s="5" t="s">
        <v>171</v>
      </c>
      <c r="F623" s="6"/>
      <c r="G623" s="7">
        <v>772</v>
      </c>
      <c r="H623" s="7">
        <v>712</v>
      </c>
      <c r="I623" s="39">
        <v>640</v>
      </c>
      <c r="J623" s="39">
        <v>657</v>
      </c>
      <c r="K623" s="39">
        <v>662</v>
      </c>
      <c r="L623" s="39">
        <v>557</v>
      </c>
      <c r="M623" s="39">
        <v>571</v>
      </c>
      <c r="N623" s="39">
        <v>576</v>
      </c>
      <c r="O623" s="39">
        <v>669</v>
      </c>
      <c r="P623" s="39">
        <v>546</v>
      </c>
      <c r="Q623" s="39">
        <v>646</v>
      </c>
      <c r="R623" s="39">
        <v>624</v>
      </c>
      <c r="S623" s="39">
        <v>615</v>
      </c>
      <c r="T623" s="39">
        <v>518</v>
      </c>
      <c r="U623" s="39">
        <v>533</v>
      </c>
      <c r="V623" s="39">
        <v>428</v>
      </c>
      <c r="W623" s="39">
        <v>417</v>
      </c>
      <c r="X623" s="39">
        <v>416</v>
      </c>
    </row>
    <row r="624" spans="1:24" x14ac:dyDescent="0.2">
      <c r="A624" s="5" t="s">
        <v>80</v>
      </c>
      <c r="B624" s="5" t="s">
        <v>434</v>
      </c>
      <c r="C624" s="5"/>
      <c r="D624" s="2"/>
      <c r="E624" s="5" t="s">
        <v>173</v>
      </c>
      <c r="F624" s="6"/>
      <c r="G624" s="7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</row>
    <row r="625" spans="1:24" x14ac:dyDescent="0.2">
      <c r="A625" s="5"/>
      <c r="B625" s="5" t="s">
        <v>435</v>
      </c>
      <c r="C625" s="5"/>
      <c r="D625" s="2"/>
      <c r="E625" s="5" t="s">
        <v>175</v>
      </c>
      <c r="F625" s="6"/>
      <c r="G625" s="7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</row>
    <row r="626" spans="1:24" x14ac:dyDescent="0.2">
      <c r="A626" s="5"/>
      <c r="B626" s="5" t="s">
        <v>591</v>
      </c>
      <c r="C626" s="5"/>
      <c r="D626" s="2"/>
      <c r="E626" s="5" t="s">
        <v>176</v>
      </c>
      <c r="F626" s="6"/>
      <c r="G626" s="7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</row>
    <row r="627" spans="1:24" x14ac:dyDescent="0.2">
      <c r="A627" s="5"/>
      <c r="B627" s="5" t="s">
        <v>592</v>
      </c>
      <c r="C627" s="5">
        <f>507</f>
        <v>507</v>
      </c>
      <c r="D627" s="2">
        <f>307</f>
        <v>307</v>
      </c>
      <c r="E627" s="5" t="s">
        <v>177</v>
      </c>
      <c r="F627" s="6"/>
      <c r="G627" s="7">
        <v>474</v>
      </c>
      <c r="H627" s="7">
        <v>411</v>
      </c>
      <c r="I627" s="39">
        <f>89+65+20+42+150</f>
        <v>366</v>
      </c>
      <c r="J627" s="39">
        <f>70+63+9+14+146</f>
        <v>302</v>
      </c>
      <c r="K627" s="39">
        <f>78+61+16+19+196</f>
        <v>370</v>
      </c>
      <c r="L627" s="39">
        <f>79+55+4+26+139</f>
        <v>303</v>
      </c>
      <c r="M627" s="39">
        <f>44+52+10+17+114</f>
        <v>237</v>
      </c>
      <c r="N627" s="39">
        <f>25+61+16+18+154</f>
        <v>274</v>
      </c>
      <c r="O627" s="39">
        <f>28+79+20+26+119</f>
        <v>272</v>
      </c>
      <c r="P627" s="39">
        <f>21+101+20+24+117</f>
        <v>283</v>
      </c>
      <c r="Q627" s="39">
        <f>10+88+20+23+88</f>
        <v>229</v>
      </c>
      <c r="R627" s="39">
        <f>33+77+49+32+54</f>
        <v>245</v>
      </c>
      <c r="S627" s="39">
        <f>SUM(7+78+44+23+24)</f>
        <v>176</v>
      </c>
      <c r="T627" s="39">
        <v>187</v>
      </c>
      <c r="U627" s="39">
        <f>12+85+58+16+23</f>
        <v>194</v>
      </c>
      <c r="V627" s="39">
        <f>8+83+57+5+34</f>
        <v>187</v>
      </c>
      <c r="W627" s="39">
        <f>6+61+49+14+20</f>
        <v>150</v>
      </c>
      <c r="X627" s="39">
        <f>5+74+71+10+21</f>
        <v>181</v>
      </c>
    </row>
    <row r="628" spans="1:24" x14ac:dyDescent="0.2">
      <c r="A628" s="5" t="s">
        <v>82</v>
      </c>
      <c r="B628" s="5" t="s">
        <v>437</v>
      </c>
      <c r="C628" s="5"/>
      <c r="D628" s="2"/>
      <c r="E628" s="5"/>
      <c r="F628" s="6"/>
      <c r="G628" s="7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</row>
    <row r="629" spans="1:24" x14ac:dyDescent="0.2">
      <c r="A629" s="5"/>
      <c r="B629" s="5" t="s">
        <v>438</v>
      </c>
      <c r="C629" s="5">
        <f>31</f>
        <v>31</v>
      </c>
      <c r="D629" s="2">
        <v>0</v>
      </c>
      <c r="E629" s="5"/>
      <c r="F629" s="6"/>
      <c r="G629" s="7">
        <v>17</v>
      </c>
      <c r="H629" s="7">
        <v>0</v>
      </c>
      <c r="I629" s="39">
        <v>0</v>
      </c>
      <c r="J629" s="39">
        <v>0</v>
      </c>
      <c r="K629" s="39">
        <v>0</v>
      </c>
      <c r="L629" s="39">
        <v>0</v>
      </c>
      <c r="M629" s="39">
        <v>0</v>
      </c>
      <c r="N629" s="39">
        <v>0</v>
      </c>
      <c r="O629" s="39">
        <v>6</v>
      </c>
      <c r="P629" s="39">
        <v>1</v>
      </c>
      <c r="Q629" s="39">
        <v>1</v>
      </c>
      <c r="R629" s="39">
        <v>5</v>
      </c>
      <c r="S629" s="39">
        <v>2</v>
      </c>
      <c r="T629" s="39">
        <v>1</v>
      </c>
      <c r="U629" s="39">
        <v>4</v>
      </c>
      <c r="V629" s="39">
        <v>2</v>
      </c>
      <c r="W629" s="39">
        <v>3</v>
      </c>
      <c r="X629" s="39">
        <v>4</v>
      </c>
    </row>
    <row r="630" spans="1:24" x14ac:dyDescent="0.2">
      <c r="C630" s="5"/>
      <c r="D630" s="2"/>
      <c r="E630" s="5"/>
      <c r="F630" s="6"/>
      <c r="G630" s="7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</row>
    <row r="631" spans="1:24" x14ac:dyDescent="0.2">
      <c r="A631" s="5" t="s">
        <v>88</v>
      </c>
      <c r="B631" s="5" t="s">
        <v>219</v>
      </c>
      <c r="C631" s="5"/>
      <c r="D631" s="2"/>
      <c r="E631" s="5"/>
      <c r="F631" s="6"/>
      <c r="G631" s="7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</row>
    <row r="632" spans="1:24" x14ac:dyDescent="0.2">
      <c r="A632" s="5"/>
      <c r="B632" s="5" t="s">
        <v>220</v>
      </c>
      <c r="C632" s="5" t="s">
        <v>137</v>
      </c>
      <c r="D632" s="2">
        <f>2</f>
        <v>2</v>
      </c>
      <c r="E632" s="5"/>
      <c r="F632" s="6"/>
      <c r="G632" s="7">
        <v>1</v>
      </c>
      <c r="H632" s="7">
        <v>0</v>
      </c>
      <c r="I632" s="39">
        <v>0</v>
      </c>
      <c r="J632" s="39">
        <v>0</v>
      </c>
      <c r="K632" s="39">
        <v>0</v>
      </c>
      <c r="L632" s="39">
        <v>0</v>
      </c>
      <c r="M632" s="39">
        <v>0</v>
      </c>
      <c r="N632" s="39">
        <v>0</v>
      </c>
      <c r="O632" s="39">
        <v>0</v>
      </c>
      <c r="P632" s="39">
        <v>0</v>
      </c>
      <c r="Q632" s="39">
        <v>0</v>
      </c>
      <c r="R632" s="39">
        <v>0</v>
      </c>
      <c r="S632" s="39">
        <v>0</v>
      </c>
      <c r="T632" s="39">
        <v>0</v>
      </c>
      <c r="U632" s="39">
        <v>0</v>
      </c>
      <c r="V632" s="39">
        <v>0</v>
      </c>
      <c r="W632" s="39">
        <v>0</v>
      </c>
      <c r="X632" s="39">
        <v>0</v>
      </c>
    </row>
    <row r="633" spans="1:24" x14ac:dyDescent="0.2">
      <c r="A633" s="5"/>
      <c r="B633" s="5"/>
      <c r="C633" s="5"/>
      <c r="D633" s="2"/>
      <c r="E633" s="5"/>
      <c r="F633" s="6"/>
      <c r="G633" s="7"/>
      <c r="V633" s="7"/>
    </row>
    <row r="634" spans="1:24" x14ac:dyDescent="0.2">
      <c r="A634" s="5"/>
      <c r="B634" s="5"/>
      <c r="C634" s="5"/>
      <c r="D634" s="2"/>
      <c r="E634" s="5"/>
      <c r="F634" s="6"/>
      <c r="G634" s="7"/>
      <c r="V634" s="7"/>
    </row>
    <row r="635" spans="1:24" x14ac:dyDescent="0.2">
      <c r="A635" s="5"/>
      <c r="B635" s="6" t="s">
        <v>347</v>
      </c>
      <c r="C635" s="5"/>
      <c r="D635" s="2"/>
      <c r="E635" s="5"/>
      <c r="F635" s="6"/>
      <c r="G635" s="7"/>
      <c r="V635" s="7"/>
    </row>
    <row r="636" spans="1:24" x14ac:dyDescent="0.2">
      <c r="A636" s="5"/>
      <c r="B636" s="6"/>
      <c r="C636" s="5"/>
      <c r="D636" s="2"/>
      <c r="E636" s="5"/>
      <c r="F636" s="6"/>
      <c r="G636" s="7"/>
      <c r="V636" s="7"/>
    </row>
    <row r="637" spans="1:24" hidden="1" outlineLevel="1" x14ac:dyDescent="0.2">
      <c r="A637" s="5"/>
      <c r="B637" s="5"/>
      <c r="C637" s="5"/>
      <c r="D637" s="63">
        <f>1993</f>
        <v>1993</v>
      </c>
      <c r="E637" s="63">
        <f>1994</f>
        <v>1994</v>
      </c>
      <c r="F637" s="63"/>
      <c r="G637" s="64">
        <v>1995</v>
      </c>
      <c r="H637" s="64">
        <v>1996</v>
      </c>
      <c r="I637" s="38">
        <v>1997</v>
      </c>
      <c r="J637" s="38">
        <v>1998</v>
      </c>
      <c r="K637" s="38">
        <v>1999</v>
      </c>
      <c r="L637" s="38">
        <v>2000</v>
      </c>
      <c r="M637" s="38">
        <v>2001</v>
      </c>
      <c r="N637" s="38">
        <v>2002</v>
      </c>
      <c r="O637" s="38">
        <v>2003</v>
      </c>
      <c r="P637" s="38">
        <v>2004</v>
      </c>
      <c r="Q637" s="38">
        <v>2005</v>
      </c>
      <c r="R637" s="38">
        <v>2006</v>
      </c>
      <c r="S637" s="38">
        <v>2007</v>
      </c>
      <c r="T637" s="38">
        <v>2008</v>
      </c>
      <c r="U637" s="38">
        <v>2009</v>
      </c>
      <c r="V637" s="38"/>
    </row>
    <row r="638" spans="1:24" collapsed="1" x14ac:dyDescent="0.2">
      <c r="A638" s="6" t="s">
        <v>344</v>
      </c>
      <c r="B638" s="6" t="s">
        <v>570</v>
      </c>
      <c r="C638" s="5"/>
      <c r="D638" s="2"/>
      <c r="E638" s="5"/>
      <c r="F638" s="6"/>
      <c r="G638" s="7"/>
      <c r="V638" s="39"/>
    </row>
    <row r="639" spans="1:24" x14ac:dyDescent="0.2">
      <c r="A639" s="5" t="s">
        <v>5</v>
      </c>
      <c r="B639" s="5" t="s">
        <v>61</v>
      </c>
      <c r="C639" s="5">
        <f>15</f>
        <v>15</v>
      </c>
      <c r="D639" s="2">
        <f>58</f>
        <v>58</v>
      </c>
      <c r="E639" s="5">
        <v>59</v>
      </c>
      <c r="F639" s="6"/>
      <c r="G639" s="7">
        <v>31</v>
      </c>
      <c r="H639" s="7">
        <v>8</v>
      </c>
      <c r="I639" s="39">
        <v>6</v>
      </c>
      <c r="J639" s="43" t="s">
        <v>277</v>
      </c>
      <c r="K639" s="39">
        <v>3</v>
      </c>
      <c r="L639" s="39">
        <v>3</v>
      </c>
      <c r="M639" s="39">
        <v>0</v>
      </c>
      <c r="N639" s="39">
        <v>0</v>
      </c>
      <c r="O639" s="39">
        <v>0</v>
      </c>
      <c r="P639" s="39">
        <v>0</v>
      </c>
      <c r="Q639" s="39">
        <v>0</v>
      </c>
      <c r="R639" s="39">
        <v>0</v>
      </c>
      <c r="S639" s="39">
        <v>0</v>
      </c>
      <c r="T639" s="39">
        <v>0</v>
      </c>
      <c r="U639" s="39">
        <v>0</v>
      </c>
      <c r="V639" s="39">
        <v>0</v>
      </c>
      <c r="W639" s="39">
        <v>1</v>
      </c>
      <c r="X639" s="39">
        <v>1</v>
      </c>
    </row>
    <row r="640" spans="1:24" x14ac:dyDescent="0.2">
      <c r="A640" s="5" t="s">
        <v>8</v>
      </c>
      <c r="B640" s="5" t="s">
        <v>9</v>
      </c>
      <c r="C640" s="5">
        <f>22</f>
        <v>22</v>
      </c>
      <c r="D640" s="2">
        <f>50</f>
        <v>50</v>
      </c>
      <c r="E640" s="5">
        <v>76</v>
      </c>
      <c r="F640" s="6"/>
      <c r="G640" s="7">
        <v>24</v>
      </c>
      <c r="H640" s="7">
        <v>46</v>
      </c>
      <c r="I640" s="39">
        <v>15</v>
      </c>
      <c r="J640" s="43" t="s">
        <v>278</v>
      </c>
      <c r="K640" s="39">
        <v>2</v>
      </c>
      <c r="L640" s="39">
        <v>3</v>
      </c>
      <c r="M640" s="39">
        <v>0</v>
      </c>
      <c r="N640" s="39">
        <v>0</v>
      </c>
      <c r="O640" s="39">
        <v>0</v>
      </c>
      <c r="P640" s="39">
        <v>1</v>
      </c>
      <c r="Q640" s="39">
        <v>0</v>
      </c>
      <c r="R640" s="39">
        <v>0</v>
      </c>
      <c r="S640" s="39">
        <v>0</v>
      </c>
      <c r="T640" s="39">
        <v>0</v>
      </c>
      <c r="U640" s="39">
        <v>0</v>
      </c>
      <c r="V640" s="39">
        <v>0</v>
      </c>
      <c r="W640" s="39">
        <v>0</v>
      </c>
      <c r="X640" s="39">
        <v>0</v>
      </c>
    </row>
    <row r="641" spans="1:24" x14ac:dyDescent="0.2">
      <c r="A641" s="5" t="s">
        <v>10</v>
      </c>
      <c r="B641" s="5" t="s">
        <v>64</v>
      </c>
      <c r="C641" s="5">
        <f>1</f>
        <v>1</v>
      </c>
      <c r="D641" s="2">
        <f>59</f>
        <v>59</v>
      </c>
      <c r="E641" s="5">
        <v>42</v>
      </c>
      <c r="F641" s="6"/>
      <c r="G641" s="7">
        <v>49</v>
      </c>
      <c r="H641" s="7">
        <v>11</v>
      </c>
      <c r="I641" s="39">
        <v>2</v>
      </c>
      <c r="J641" s="43" t="s">
        <v>279</v>
      </c>
      <c r="K641" s="39">
        <v>1</v>
      </c>
      <c r="L641" s="39">
        <v>1</v>
      </c>
      <c r="M641" s="39">
        <v>0</v>
      </c>
      <c r="N641" s="39">
        <v>0</v>
      </c>
      <c r="O641" s="39">
        <v>0</v>
      </c>
      <c r="P641" s="39">
        <v>0</v>
      </c>
      <c r="Q641" s="39">
        <v>0</v>
      </c>
      <c r="R641" s="39">
        <v>0</v>
      </c>
      <c r="S641" s="39">
        <v>0</v>
      </c>
      <c r="T641" s="39">
        <v>0</v>
      </c>
      <c r="U641" s="39">
        <v>0</v>
      </c>
      <c r="V641" s="39">
        <v>0</v>
      </c>
      <c r="W641" s="39">
        <v>0</v>
      </c>
      <c r="X641" s="39">
        <v>1</v>
      </c>
    </row>
    <row r="642" spans="1:24" x14ac:dyDescent="0.2">
      <c r="A642" s="5" t="s">
        <v>12</v>
      </c>
      <c r="B642" s="5" t="s">
        <v>221</v>
      </c>
      <c r="C642" s="5"/>
      <c r="D642" s="2"/>
      <c r="E642" s="5"/>
      <c r="F642" s="6"/>
      <c r="G642" s="7"/>
      <c r="I642" s="39"/>
      <c r="J642" s="43" t="s">
        <v>280</v>
      </c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</row>
    <row r="643" spans="1:24" x14ac:dyDescent="0.2">
      <c r="A643" s="5" t="s">
        <v>14</v>
      </c>
      <c r="B643" s="5" t="s">
        <v>571</v>
      </c>
      <c r="C643" s="5">
        <f>2</f>
        <v>2</v>
      </c>
      <c r="D643" s="31">
        <v>0</v>
      </c>
      <c r="E643" s="5">
        <v>5</v>
      </c>
      <c r="F643" s="6"/>
      <c r="G643" s="7">
        <v>3</v>
      </c>
      <c r="H643" s="7">
        <v>3</v>
      </c>
      <c r="I643" s="39">
        <v>1</v>
      </c>
      <c r="J643" s="43" t="s">
        <v>281</v>
      </c>
      <c r="K643" s="39">
        <v>0</v>
      </c>
      <c r="L643" s="39">
        <v>0</v>
      </c>
      <c r="M643" s="39">
        <v>0</v>
      </c>
      <c r="N643" s="39">
        <v>0</v>
      </c>
      <c r="O643" s="39">
        <v>0</v>
      </c>
      <c r="P643" s="39">
        <v>1</v>
      </c>
      <c r="Q643" s="39">
        <v>0</v>
      </c>
      <c r="R643" s="39">
        <v>0</v>
      </c>
      <c r="S643" s="39">
        <v>0</v>
      </c>
      <c r="T643" s="39">
        <v>0</v>
      </c>
      <c r="U643" s="39">
        <v>0</v>
      </c>
      <c r="V643" s="39">
        <v>0</v>
      </c>
      <c r="W643" s="39">
        <v>0</v>
      </c>
      <c r="X643" s="39">
        <v>0</v>
      </c>
    </row>
    <row r="644" spans="1:24" x14ac:dyDescent="0.2">
      <c r="A644" s="5" t="s">
        <v>17</v>
      </c>
      <c r="B644" s="5" t="s">
        <v>432</v>
      </c>
      <c r="C644" s="5" t="s">
        <v>98</v>
      </c>
      <c r="D644" s="2">
        <f>4</f>
        <v>4</v>
      </c>
      <c r="E644" s="5">
        <v>2</v>
      </c>
      <c r="F644" s="6"/>
      <c r="G644" s="7">
        <v>2</v>
      </c>
      <c r="H644" s="7">
        <v>21</v>
      </c>
      <c r="I644" s="39">
        <v>2</v>
      </c>
      <c r="J644" s="43" t="s">
        <v>282</v>
      </c>
      <c r="K644" s="39">
        <v>0</v>
      </c>
      <c r="L644" s="39">
        <v>0</v>
      </c>
      <c r="M644" s="39">
        <v>0</v>
      </c>
      <c r="N644" s="39">
        <v>0</v>
      </c>
      <c r="O644" s="39">
        <v>0</v>
      </c>
      <c r="P644" s="39">
        <v>0</v>
      </c>
      <c r="Q644" s="39">
        <v>0</v>
      </c>
      <c r="R644" s="39">
        <v>0</v>
      </c>
      <c r="S644" s="39">
        <v>0</v>
      </c>
      <c r="T644" s="39">
        <v>0</v>
      </c>
      <c r="U644" s="39">
        <v>0</v>
      </c>
      <c r="V644" s="39">
        <v>0</v>
      </c>
      <c r="W644" s="39">
        <v>0</v>
      </c>
      <c r="X644" s="39">
        <v>0</v>
      </c>
    </row>
    <row r="645" spans="1:24" x14ac:dyDescent="0.2">
      <c r="A645" s="5" t="s">
        <v>20</v>
      </c>
      <c r="B645" s="5" t="s">
        <v>572</v>
      </c>
      <c r="C645" s="5" t="s">
        <v>98</v>
      </c>
      <c r="D645" s="2">
        <f>3</f>
        <v>3</v>
      </c>
      <c r="E645" s="5">
        <v>12</v>
      </c>
      <c r="F645" s="6"/>
      <c r="G645" s="7">
        <v>2</v>
      </c>
      <c r="H645" s="7">
        <v>3</v>
      </c>
      <c r="I645" s="39">
        <v>2</v>
      </c>
      <c r="J645" s="43" t="s">
        <v>283</v>
      </c>
      <c r="K645" s="39">
        <v>0</v>
      </c>
      <c r="L645" s="39">
        <v>0</v>
      </c>
      <c r="M645" s="39">
        <v>0</v>
      </c>
      <c r="N645" s="39">
        <v>0</v>
      </c>
      <c r="O645" s="39">
        <v>0</v>
      </c>
      <c r="P645" s="39">
        <v>0</v>
      </c>
      <c r="Q645" s="39">
        <v>0</v>
      </c>
      <c r="R645" s="39">
        <v>0</v>
      </c>
      <c r="S645" s="39">
        <v>0</v>
      </c>
      <c r="T645" s="39">
        <v>0</v>
      </c>
      <c r="U645" s="39">
        <v>0</v>
      </c>
      <c r="V645" s="39">
        <v>0</v>
      </c>
      <c r="W645" s="39">
        <v>0</v>
      </c>
      <c r="X645" s="39">
        <v>0</v>
      </c>
    </row>
    <row r="646" spans="1:24" x14ac:dyDescent="0.2">
      <c r="A646" s="5" t="s">
        <v>23</v>
      </c>
      <c r="B646" s="5" t="s">
        <v>573</v>
      </c>
      <c r="C646" s="5">
        <f>1</f>
        <v>1</v>
      </c>
      <c r="D646" s="2">
        <f>23</f>
        <v>23</v>
      </c>
      <c r="E646" s="5">
        <v>25</v>
      </c>
      <c r="F646" s="6"/>
      <c r="G646" s="7">
        <v>11</v>
      </c>
      <c r="H646" s="7">
        <v>9</v>
      </c>
      <c r="I646" s="39">
        <v>3</v>
      </c>
      <c r="J646" s="43" t="s">
        <v>284</v>
      </c>
      <c r="K646" s="39">
        <v>1</v>
      </c>
      <c r="L646" s="39">
        <v>0</v>
      </c>
      <c r="M646" s="39">
        <v>0</v>
      </c>
      <c r="N646" s="39">
        <v>0</v>
      </c>
      <c r="O646" s="39">
        <v>0</v>
      </c>
      <c r="P646" s="39">
        <v>0</v>
      </c>
      <c r="Q646" s="39">
        <v>0</v>
      </c>
      <c r="R646" s="39">
        <v>0</v>
      </c>
      <c r="S646" s="39">
        <v>0</v>
      </c>
      <c r="T646" s="39">
        <v>0</v>
      </c>
      <c r="U646" s="39">
        <v>0</v>
      </c>
      <c r="V646" s="39">
        <v>0</v>
      </c>
      <c r="W646" s="39">
        <v>0</v>
      </c>
      <c r="X646" s="39">
        <v>0</v>
      </c>
    </row>
    <row r="647" spans="1:24" x14ac:dyDescent="0.2">
      <c r="A647" s="5" t="s">
        <v>26</v>
      </c>
      <c r="B647" s="5" t="s">
        <v>429</v>
      </c>
      <c r="C647" s="5">
        <f>18</f>
        <v>18</v>
      </c>
      <c r="D647" s="2">
        <f>14</f>
        <v>14</v>
      </c>
      <c r="E647" s="5">
        <v>26</v>
      </c>
      <c r="F647" s="6"/>
      <c r="G647" s="7">
        <v>6</v>
      </c>
      <c r="H647" s="7">
        <v>10</v>
      </c>
      <c r="I647" s="39">
        <v>7</v>
      </c>
      <c r="J647" s="43" t="s">
        <v>285</v>
      </c>
      <c r="K647" s="39">
        <v>1</v>
      </c>
      <c r="L647" s="39">
        <v>2</v>
      </c>
      <c r="M647" s="39">
        <v>0</v>
      </c>
      <c r="N647" s="39">
        <v>0</v>
      </c>
      <c r="O647" s="39">
        <v>0</v>
      </c>
      <c r="P647" s="39">
        <v>0</v>
      </c>
      <c r="Q647" s="39">
        <v>0</v>
      </c>
      <c r="R647" s="39">
        <v>0</v>
      </c>
      <c r="S647" s="39">
        <v>0</v>
      </c>
      <c r="T647" s="39">
        <v>0</v>
      </c>
      <c r="U647" s="39">
        <v>0</v>
      </c>
      <c r="V647" s="39">
        <v>0</v>
      </c>
      <c r="W647" s="39">
        <v>0</v>
      </c>
      <c r="X647" s="39">
        <v>0</v>
      </c>
    </row>
    <row r="648" spans="1:24" x14ac:dyDescent="0.2">
      <c r="A648" s="5" t="s">
        <v>29</v>
      </c>
      <c r="B648" s="5" t="s">
        <v>574</v>
      </c>
      <c r="C648" s="5">
        <f>1</f>
        <v>1</v>
      </c>
      <c r="D648" s="2">
        <f>6</f>
        <v>6</v>
      </c>
      <c r="E648" s="5">
        <v>6</v>
      </c>
      <c r="F648" s="6"/>
      <c r="G648" s="35">
        <v>0</v>
      </c>
      <c r="H648" s="7">
        <v>0</v>
      </c>
      <c r="I648" s="39">
        <v>0</v>
      </c>
      <c r="J648" s="43" t="s">
        <v>286</v>
      </c>
      <c r="K648" s="39">
        <v>0</v>
      </c>
      <c r="L648" s="39">
        <v>1</v>
      </c>
      <c r="M648" s="39">
        <v>0</v>
      </c>
      <c r="N648" s="39">
        <v>0</v>
      </c>
      <c r="O648" s="39">
        <v>0</v>
      </c>
      <c r="P648" s="39">
        <v>0</v>
      </c>
      <c r="Q648" s="39">
        <v>0</v>
      </c>
      <c r="R648" s="39">
        <v>0</v>
      </c>
      <c r="S648" s="39">
        <v>0</v>
      </c>
      <c r="T648" s="39">
        <v>0</v>
      </c>
      <c r="U648" s="39">
        <v>0</v>
      </c>
      <c r="V648" s="39">
        <v>0</v>
      </c>
      <c r="W648" s="39">
        <v>0</v>
      </c>
      <c r="X648" s="39">
        <v>0</v>
      </c>
    </row>
    <row r="649" spans="1:24" x14ac:dyDescent="0.2">
      <c r="A649" s="5"/>
      <c r="B649" s="5"/>
      <c r="C649" s="5"/>
      <c r="D649" s="2"/>
      <c r="E649" s="5"/>
      <c r="F649" s="6"/>
      <c r="G649" s="7"/>
      <c r="I649" s="39"/>
      <c r="J649" s="39" t="s">
        <v>287</v>
      </c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</row>
    <row r="650" spans="1:24" x14ac:dyDescent="0.2">
      <c r="A650" s="5"/>
      <c r="B650" s="5"/>
      <c r="C650" s="5"/>
      <c r="D650" s="2"/>
      <c r="E650" s="5"/>
      <c r="F650" s="6"/>
      <c r="G650" s="7"/>
      <c r="I650" s="39"/>
      <c r="J650" s="39"/>
      <c r="K650" s="39"/>
      <c r="L650" s="39"/>
      <c r="M650" s="39"/>
      <c r="N650" s="39"/>
      <c r="O650" s="39"/>
      <c r="P650" s="39"/>
      <c r="Q650" s="39"/>
      <c r="R650" s="38">
        <v>2006</v>
      </c>
      <c r="S650" s="38">
        <v>2007</v>
      </c>
      <c r="T650" s="38">
        <v>2008</v>
      </c>
      <c r="U650" s="38">
        <v>2009</v>
      </c>
      <c r="V650" s="38">
        <v>2010</v>
      </c>
      <c r="W650" s="38">
        <v>2011</v>
      </c>
      <c r="X650" s="38">
        <v>2012</v>
      </c>
    </row>
    <row r="651" spans="1:24" x14ac:dyDescent="0.2">
      <c r="A651" s="6" t="s">
        <v>345</v>
      </c>
      <c r="B651" s="6" t="s">
        <v>346</v>
      </c>
      <c r="C651" s="5"/>
      <c r="D651" s="2"/>
      <c r="E651" s="5"/>
      <c r="F651" s="6"/>
      <c r="G651" s="7"/>
      <c r="I651" s="39"/>
      <c r="J651" s="43" t="s">
        <v>288</v>
      </c>
      <c r="K651" s="39"/>
      <c r="L651" s="43"/>
      <c r="M651" s="43"/>
      <c r="N651" s="43"/>
      <c r="O651" s="43"/>
      <c r="P651" s="43"/>
      <c r="Q651" s="43"/>
      <c r="R651" s="43"/>
      <c r="S651" s="43"/>
      <c r="T651" s="43"/>
      <c r="U651" s="43"/>
    </row>
    <row r="652" spans="1:24" x14ac:dyDescent="0.2">
      <c r="A652" s="5" t="s">
        <v>60</v>
      </c>
      <c r="B652" s="5" t="s">
        <v>222</v>
      </c>
      <c r="C652" s="5">
        <f>383</f>
        <v>383</v>
      </c>
      <c r="D652" s="2">
        <f>373</f>
        <v>373</v>
      </c>
      <c r="E652" s="5">
        <v>350</v>
      </c>
      <c r="F652" s="6"/>
      <c r="G652" s="7">
        <v>353</v>
      </c>
      <c r="H652" s="7">
        <v>329</v>
      </c>
      <c r="I652" s="39">
        <v>377</v>
      </c>
      <c r="J652" s="43" t="s">
        <v>291</v>
      </c>
      <c r="K652" s="39">
        <v>357</v>
      </c>
      <c r="L652" s="39">
        <v>468</v>
      </c>
      <c r="M652" s="39">
        <v>318</v>
      </c>
      <c r="N652" s="39">
        <v>314</v>
      </c>
      <c r="O652" s="39">
        <v>349</v>
      </c>
      <c r="P652" s="39">
        <v>350</v>
      </c>
      <c r="Q652" s="39">
        <v>361</v>
      </c>
      <c r="R652" s="39">
        <v>358</v>
      </c>
      <c r="S652" s="39">
        <v>333</v>
      </c>
      <c r="T652" s="39">
        <v>310</v>
      </c>
      <c r="U652" s="39">
        <v>278</v>
      </c>
      <c r="V652" s="39">
        <v>270</v>
      </c>
      <c r="W652" s="39">
        <v>297</v>
      </c>
      <c r="X652" s="39">
        <v>346</v>
      </c>
    </row>
    <row r="653" spans="1:24" x14ac:dyDescent="0.2">
      <c r="A653" s="5" t="s">
        <v>62</v>
      </c>
      <c r="B653" s="5" t="s">
        <v>575</v>
      </c>
      <c r="C653" s="5">
        <f>109</f>
        <v>109</v>
      </c>
      <c r="D653" s="2">
        <f>107</f>
        <v>107</v>
      </c>
      <c r="E653" s="5">
        <v>112</v>
      </c>
      <c r="F653" s="6"/>
      <c r="G653" s="7">
        <v>146</v>
      </c>
      <c r="H653" s="7">
        <v>171</v>
      </c>
      <c r="I653" s="39">
        <v>165</v>
      </c>
      <c r="J653" s="43" t="s">
        <v>292</v>
      </c>
      <c r="K653" s="39">
        <v>76</v>
      </c>
      <c r="L653" s="39">
        <v>76</v>
      </c>
      <c r="M653" s="39">
        <v>69</v>
      </c>
      <c r="N653" s="39">
        <v>55</v>
      </c>
      <c r="O653" s="39">
        <v>65</v>
      </c>
      <c r="P653" s="39">
        <v>65</v>
      </c>
      <c r="Q653" s="39">
        <v>70</v>
      </c>
      <c r="R653" s="39">
        <v>106</v>
      </c>
      <c r="S653" s="39">
        <v>68</v>
      </c>
      <c r="T653" s="39">
        <v>80</v>
      </c>
      <c r="U653" s="39">
        <v>68</v>
      </c>
      <c r="V653" s="39">
        <v>84</v>
      </c>
      <c r="W653" s="39">
        <v>99</v>
      </c>
      <c r="X653" s="39">
        <v>97</v>
      </c>
    </row>
    <row r="654" spans="1:24" x14ac:dyDescent="0.2">
      <c r="A654" s="5" t="s">
        <v>63</v>
      </c>
      <c r="B654" s="5" t="s">
        <v>576</v>
      </c>
      <c r="C654" s="5"/>
      <c r="D654" s="2"/>
      <c r="E654" s="5"/>
      <c r="F654" s="6"/>
      <c r="G654" s="7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</row>
    <row r="655" spans="1:24" x14ac:dyDescent="0.2">
      <c r="A655" s="5"/>
      <c r="B655" s="5" t="s">
        <v>577</v>
      </c>
      <c r="C655" s="5"/>
      <c r="D655" s="2"/>
      <c r="E655" s="5"/>
      <c r="F655" s="6"/>
      <c r="G655" s="7"/>
      <c r="I655" s="39"/>
      <c r="J655" s="39"/>
      <c r="K655" s="39"/>
      <c r="L655" s="39"/>
      <c r="M655" s="39"/>
      <c r="N655" s="39"/>
      <c r="O655" s="39"/>
      <c r="P655" s="39">
        <v>57</v>
      </c>
      <c r="Q655" s="39">
        <v>67</v>
      </c>
      <c r="R655" s="39">
        <v>107</v>
      </c>
      <c r="S655" s="39">
        <v>82</v>
      </c>
      <c r="T655" s="39">
        <v>77</v>
      </c>
      <c r="U655" s="39">
        <v>71</v>
      </c>
      <c r="V655" s="39">
        <v>105</v>
      </c>
      <c r="W655" s="39">
        <v>91</v>
      </c>
      <c r="X655" s="39">
        <v>106</v>
      </c>
    </row>
    <row r="656" spans="1:24" x14ac:dyDescent="0.2">
      <c r="A656" s="5" t="s">
        <v>65</v>
      </c>
      <c r="B656" s="5" t="s">
        <v>270</v>
      </c>
      <c r="C656" s="5"/>
      <c r="D656" s="2"/>
      <c r="E656" s="5"/>
      <c r="F656" s="6"/>
      <c r="G656" s="7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</row>
    <row r="657" spans="1:24" x14ac:dyDescent="0.2">
      <c r="A657" s="5"/>
      <c r="B657" s="5" t="s">
        <v>96</v>
      </c>
      <c r="C657" s="5"/>
      <c r="D657" s="2"/>
      <c r="E657" s="5"/>
      <c r="F657" s="6"/>
      <c r="G657" s="7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</row>
    <row r="658" spans="1:24" x14ac:dyDescent="0.2">
      <c r="A658" s="32" t="s">
        <v>66</v>
      </c>
      <c r="B658" s="5" t="s">
        <v>578</v>
      </c>
      <c r="C658" s="5">
        <f>757</f>
        <v>757</v>
      </c>
      <c r="D658" s="2">
        <f>858</f>
        <v>858</v>
      </c>
      <c r="E658" s="5">
        <v>805</v>
      </c>
      <c r="F658" s="6"/>
      <c r="G658" s="7">
        <v>791</v>
      </c>
      <c r="H658" s="7">
        <v>729</v>
      </c>
      <c r="I658" s="39">
        <v>630</v>
      </c>
      <c r="J658" s="39" t="s">
        <v>293</v>
      </c>
      <c r="K658" s="39">
        <v>693</v>
      </c>
      <c r="L658" s="39">
        <v>554</v>
      </c>
      <c r="M658" s="39">
        <v>589</v>
      </c>
      <c r="N658" s="39">
        <v>620</v>
      </c>
      <c r="O658" s="39">
        <v>752</v>
      </c>
      <c r="P658" s="39">
        <v>680</v>
      </c>
      <c r="Q658" s="39">
        <v>748</v>
      </c>
      <c r="R658" s="39">
        <v>687</v>
      </c>
      <c r="S658" s="39">
        <v>663</v>
      </c>
      <c r="T658" s="39">
        <v>537</v>
      </c>
      <c r="U658" s="39">
        <v>560</v>
      </c>
      <c r="V658" s="39">
        <v>496</v>
      </c>
      <c r="W658" s="39">
        <v>449</v>
      </c>
      <c r="X658" s="39">
        <v>531</v>
      </c>
    </row>
    <row r="659" spans="1:24" x14ac:dyDescent="0.2">
      <c r="A659" s="32" t="s">
        <v>67</v>
      </c>
      <c r="B659" s="5" t="s">
        <v>579</v>
      </c>
      <c r="C659" s="5">
        <f>795</f>
        <v>795</v>
      </c>
      <c r="D659" s="2">
        <f>707</f>
        <v>707</v>
      </c>
      <c r="E659" s="5">
        <v>819</v>
      </c>
      <c r="F659" s="6"/>
      <c r="G659" s="7">
        <v>737</v>
      </c>
      <c r="H659" s="7">
        <v>742</v>
      </c>
      <c r="I659" s="39">
        <v>766</v>
      </c>
      <c r="J659" s="39"/>
      <c r="K659" s="39">
        <v>739</v>
      </c>
      <c r="L659" s="39">
        <v>601</v>
      </c>
      <c r="M659" s="39">
        <v>661</v>
      </c>
      <c r="N659" s="39">
        <v>728</v>
      </c>
      <c r="O659" s="39">
        <v>853</v>
      </c>
      <c r="P659" s="39">
        <v>1159</v>
      </c>
      <c r="Q659" s="39">
        <v>1159</v>
      </c>
      <c r="R659" s="39">
        <v>1174</v>
      </c>
      <c r="S659" s="39">
        <v>1352</v>
      </c>
      <c r="T659" s="39">
        <v>1100</v>
      </c>
      <c r="U659" s="39">
        <v>1181</v>
      </c>
      <c r="V659" s="39">
        <v>1138</v>
      </c>
      <c r="W659" s="39">
        <v>1122</v>
      </c>
      <c r="X659" s="39">
        <v>1057</v>
      </c>
    </row>
    <row r="660" spans="1:24" x14ac:dyDescent="0.2">
      <c r="A660" s="5" t="s">
        <v>72</v>
      </c>
      <c r="B660" s="5" t="s">
        <v>223</v>
      </c>
      <c r="C660" s="5">
        <f>275</f>
        <v>275</v>
      </c>
      <c r="D660" s="2">
        <f>202</f>
        <v>202</v>
      </c>
      <c r="E660" s="5">
        <v>194</v>
      </c>
      <c r="F660" s="6"/>
      <c r="G660" s="7">
        <v>151</v>
      </c>
      <c r="H660" s="7">
        <v>115</v>
      </c>
      <c r="I660" s="39">
        <v>84</v>
      </c>
      <c r="J660" s="39"/>
      <c r="K660" s="39">
        <v>75</v>
      </c>
      <c r="L660" s="39">
        <v>87</v>
      </c>
      <c r="M660" s="39">
        <v>49</v>
      </c>
      <c r="N660" s="39">
        <v>27</v>
      </c>
      <c r="O660" s="39">
        <v>28</v>
      </c>
      <c r="P660" s="39">
        <v>21</v>
      </c>
      <c r="Q660" s="39">
        <v>11</v>
      </c>
      <c r="R660" s="39">
        <v>32</v>
      </c>
      <c r="S660" s="39">
        <v>10</v>
      </c>
      <c r="T660" s="39">
        <v>10</v>
      </c>
      <c r="U660" s="39">
        <v>7</v>
      </c>
      <c r="V660" s="39">
        <v>15</v>
      </c>
      <c r="W660" s="39">
        <v>8</v>
      </c>
      <c r="X660" s="39">
        <v>6</v>
      </c>
    </row>
    <row r="661" spans="1:24" x14ac:dyDescent="0.2">
      <c r="A661" s="5" t="s">
        <v>74</v>
      </c>
      <c r="B661" s="5" t="s">
        <v>224</v>
      </c>
      <c r="C661" s="5">
        <f>24</f>
        <v>24</v>
      </c>
      <c r="D661" s="2">
        <f>18</f>
        <v>18</v>
      </c>
      <c r="E661" s="5">
        <v>21</v>
      </c>
      <c r="F661" s="6"/>
      <c r="G661" s="7">
        <v>22</v>
      </c>
      <c r="H661" s="7">
        <v>26</v>
      </c>
      <c r="I661" s="39">
        <v>32</v>
      </c>
      <c r="J661" s="39"/>
      <c r="K661" s="39">
        <v>26</v>
      </c>
      <c r="L661" s="39">
        <v>9</v>
      </c>
      <c r="M661" s="39">
        <v>25</v>
      </c>
      <c r="N661" s="39">
        <v>25</v>
      </c>
      <c r="O661" s="39">
        <v>37</v>
      </c>
      <c r="P661" s="39">
        <v>45</v>
      </c>
      <c r="Q661" s="39">
        <v>37</v>
      </c>
      <c r="R661" s="39">
        <v>75</v>
      </c>
      <c r="S661" s="39">
        <v>68</v>
      </c>
      <c r="T661" s="39">
        <v>91</v>
      </c>
      <c r="U661" s="39">
        <v>71</v>
      </c>
      <c r="V661" s="39">
        <v>92</v>
      </c>
      <c r="W661" s="39">
        <v>75</v>
      </c>
      <c r="X661" s="39">
        <v>98</v>
      </c>
    </row>
    <row r="662" spans="1:24" x14ac:dyDescent="0.2">
      <c r="A662" s="5" t="s">
        <v>76</v>
      </c>
      <c r="B662" s="5" t="s">
        <v>580</v>
      </c>
      <c r="C662" s="5"/>
      <c r="D662" s="2"/>
      <c r="E662" s="5"/>
      <c r="F662" s="6"/>
      <c r="G662" s="7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</row>
    <row r="663" spans="1:24" x14ac:dyDescent="0.2">
      <c r="A663" s="5"/>
      <c r="B663" s="5" t="s">
        <v>623</v>
      </c>
      <c r="C663" s="5">
        <f>156</f>
        <v>156</v>
      </c>
      <c r="D663" s="2">
        <f>174</f>
        <v>174</v>
      </c>
      <c r="E663" s="5">
        <v>152</v>
      </c>
      <c r="F663" s="6"/>
      <c r="G663" s="7">
        <v>232</v>
      </c>
      <c r="H663" s="7">
        <v>216</v>
      </c>
      <c r="I663" s="39">
        <v>257</v>
      </c>
      <c r="J663" s="39"/>
      <c r="K663" s="39">
        <v>179</v>
      </c>
      <c r="L663" s="39">
        <v>101</v>
      </c>
      <c r="M663" s="39">
        <v>149</v>
      </c>
      <c r="N663" s="39">
        <v>191</v>
      </c>
      <c r="O663" s="39">
        <v>161</v>
      </c>
      <c r="P663" s="39">
        <v>188</v>
      </c>
      <c r="Q663" s="39">
        <v>125</v>
      </c>
      <c r="R663" s="39">
        <v>162</v>
      </c>
      <c r="S663" s="39">
        <v>150</v>
      </c>
      <c r="T663" s="39">
        <v>153</v>
      </c>
      <c r="U663" s="39">
        <v>151</v>
      </c>
      <c r="V663" s="39">
        <v>146</v>
      </c>
      <c r="W663" s="39">
        <v>114</v>
      </c>
      <c r="X663" s="39">
        <v>126</v>
      </c>
    </row>
    <row r="664" spans="1:24" x14ac:dyDescent="0.2">
      <c r="A664" s="5" t="s">
        <v>77</v>
      </c>
      <c r="B664" s="5" t="s">
        <v>581</v>
      </c>
      <c r="C664" s="5"/>
      <c r="D664" s="2"/>
      <c r="E664" s="5"/>
      <c r="F664" s="6"/>
      <c r="G664" s="7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</row>
    <row r="665" spans="1:24" x14ac:dyDescent="0.2">
      <c r="A665" s="5"/>
      <c r="B665" s="5" t="s">
        <v>583</v>
      </c>
      <c r="C665" s="5">
        <f>68</f>
        <v>68</v>
      </c>
      <c r="D665" s="2">
        <f>2</f>
        <v>2</v>
      </c>
      <c r="E665" s="5">
        <v>0</v>
      </c>
      <c r="F665" s="6"/>
      <c r="G665" s="35">
        <v>0</v>
      </c>
      <c r="H665" s="7">
        <v>5</v>
      </c>
      <c r="I665" s="39">
        <v>5</v>
      </c>
      <c r="J665" s="39"/>
      <c r="K665" s="39">
        <v>1</v>
      </c>
      <c r="L665" s="39">
        <v>0</v>
      </c>
      <c r="M665" s="39">
        <v>1</v>
      </c>
      <c r="N665" s="39">
        <v>6</v>
      </c>
      <c r="O665" s="39">
        <v>19</v>
      </c>
      <c r="P665" s="39">
        <v>9</v>
      </c>
      <c r="Q665" s="39">
        <v>10</v>
      </c>
      <c r="R665" s="39">
        <v>9</v>
      </c>
      <c r="S665" s="39">
        <v>4</v>
      </c>
      <c r="T665" s="39">
        <v>5</v>
      </c>
      <c r="U665" s="39">
        <v>0</v>
      </c>
      <c r="V665" s="39">
        <v>0</v>
      </c>
      <c r="W665" s="39">
        <v>0</v>
      </c>
      <c r="X665" s="39">
        <v>0</v>
      </c>
    </row>
    <row r="666" spans="1:24" x14ac:dyDescent="0.2">
      <c r="A666" s="5" t="s">
        <v>225</v>
      </c>
      <c r="B666" s="5" t="s">
        <v>226</v>
      </c>
      <c r="C666" s="5">
        <f>36</f>
        <v>36</v>
      </c>
      <c r="D666" s="2">
        <f>31</f>
        <v>31</v>
      </c>
      <c r="E666" s="5">
        <v>31</v>
      </c>
      <c r="F666" s="6"/>
      <c r="G666" s="7">
        <v>27</v>
      </c>
      <c r="H666" s="7">
        <v>86</v>
      </c>
      <c r="I666" s="39">
        <v>14</v>
      </c>
      <c r="J666" s="39"/>
      <c r="K666" s="39">
        <v>16</v>
      </c>
      <c r="L666" s="39">
        <v>33</v>
      </c>
      <c r="M666" s="39">
        <v>9</v>
      </c>
      <c r="N666" s="39">
        <v>7</v>
      </c>
      <c r="O666" s="39">
        <v>11</v>
      </c>
      <c r="P666" s="39">
        <v>12</v>
      </c>
      <c r="Q666" s="39">
        <v>6</v>
      </c>
      <c r="R666" s="39">
        <v>2</v>
      </c>
      <c r="S666" s="39">
        <v>4</v>
      </c>
      <c r="T666" s="39">
        <v>12</v>
      </c>
      <c r="U666" s="39">
        <v>3</v>
      </c>
      <c r="V666" s="39">
        <v>16</v>
      </c>
      <c r="W666" s="39">
        <v>5</v>
      </c>
      <c r="X666" s="39">
        <v>4</v>
      </c>
    </row>
    <row r="667" spans="1:24" x14ac:dyDescent="0.2">
      <c r="A667" s="5" t="s">
        <v>227</v>
      </c>
      <c r="B667" s="5" t="s">
        <v>582</v>
      </c>
      <c r="C667" s="5">
        <f>262</f>
        <v>262</v>
      </c>
      <c r="D667" s="2">
        <f>255</f>
        <v>255</v>
      </c>
      <c r="E667" s="5">
        <v>408</v>
      </c>
      <c r="F667" s="6"/>
      <c r="G667" s="7">
        <v>384</v>
      </c>
      <c r="H667" s="7">
        <v>397</v>
      </c>
      <c r="I667" s="39">
        <v>333</v>
      </c>
      <c r="J667" s="39"/>
      <c r="K667" s="39">
        <v>400</v>
      </c>
      <c r="L667" s="39">
        <v>279</v>
      </c>
      <c r="M667" s="39">
        <v>147</v>
      </c>
      <c r="N667" s="39">
        <v>148</v>
      </c>
      <c r="O667" s="39">
        <v>141</v>
      </c>
      <c r="P667" s="39">
        <v>133</v>
      </c>
      <c r="Q667" s="39">
        <v>122</v>
      </c>
      <c r="R667" s="39">
        <v>115</v>
      </c>
      <c r="S667" s="39">
        <v>130</v>
      </c>
      <c r="T667" s="39">
        <v>94</v>
      </c>
      <c r="U667" s="39">
        <v>103</v>
      </c>
      <c r="V667" s="39">
        <v>96</v>
      </c>
      <c r="W667" s="39">
        <v>84</v>
      </c>
      <c r="X667" s="39">
        <v>127</v>
      </c>
    </row>
    <row r="668" spans="1:24" x14ac:dyDescent="0.2">
      <c r="A668" s="5" t="s">
        <v>228</v>
      </c>
      <c r="B668" s="5" t="s">
        <v>229</v>
      </c>
      <c r="C668" s="5">
        <f>466</f>
        <v>466</v>
      </c>
      <c r="D668" s="2">
        <f>791</f>
        <v>791</v>
      </c>
      <c r="E668" s="5">
        <v>613</v>
      </c>
      <c r="F668" s="6"/>
      <c r="G668" s="7">
        <v>605</v>
      </c>
      <c r="H668" s="7">
        <v>725</v>
      </c>
      <c r="I668" s="39">
        <v>442</v>
      </c>
      <c r="J668" s="39"/>
      <c r="K668" s="39">
        <v>646</v>
      </c>
      <c r="L668" s="39">
        <v>615</v>
      </c>
      <c r="M668" s="39">
        <v>345</v>
      </c>
      <c r="N668" s="39">
        <v>401</v>
      </c>
      <c r="O668" s="39">
        <v>401</v>
      </c>
      <c r="P668" s="39">
        <v>461</v>
      </c>
      <c r="Q668" s="39">
        <v>492</v>
      </c>
      <c r="R668" s="39">
        <v>480</v>
      </c>
      <c r="S668" s="39">
        <v>421</v>
      </c>
      <c r="T668" s="39">
        <v>370</v>
      </c>
      <c r="U668" s="39">
        <v>301</v>
      </c>
      <c r="V668" s="39">
        <v>403</v>
      </c>
      <c r="W668" s="39">
        <v>292</v>
      </c>
      <c r="X668" s="39">
        <v>307</v>
      </c>
    </row>
    <row r="669" spans="1:24" x14ac:dyDescent="0.2">
      <c r="A669" s="5" t="s">
        <v>230</v>
      </c>
      <c r="B669" s="5" t="s">
        <v>584</v>
      </c>
      <c r="C669" s="5">
        <f>3</f>
        <v>3</v>
      </c>
      <c r="D669" s="2">
        <v>0</v>
      </c>
      <c r="E669" s="5">
        <v>0</v>
      </c>
      <c r="F669" s="6"/>
      <c r="G669" s="7">
        <v>2</v>
      </c>
      <c r="H669" s="7">
        <v>2</v>
      </c>
      <c r="I669" s="39">
        <v>235</v>
      </c>
      <c r="J669" s="39"/>
      <c r="K669" s="39">
        <v>0</v>
      </c>
      <c r="L669" s="39">
        <v>0</v>
      </c>
      <c r="M669" s="39">
        <v>0</v>
      </c>
      <c r="N669" s="39">
        <v>0</v>
      </c>
      <c r="O669" s="39">
        <v>0</v>
      </c>
      <c r="P669" s="39">
        <v>0</v>
      </c>
      <c r="Q669" s="39">
        <v>0</v>
      </c>
      <c r="R669" s="39">
        <v>0</v>
      </c>
      <c r="S669" s="39">
        <v>1</v>
      </c>
      <c r="T669" s="39">
        <v>0</v>
      </c>
      <c r="U669" s="39">
        <v>0</v>
      </c>
      <c r="V669" s="39">
        <v>0</v>
      </c>
      <c r="W669" s="39">
        <v>0</v>
      </c>
      <c r="X669" s="39">
        <v>0</v>
      </c>
    </row>
    <row r="670" spans="1:24" x14ac:dyDescent="0.2">
      <c r="A670" s="5"/>
      <c r="B670" s="5"/>
      <c r="C670" s="5"/>
      <c r="D670" s="2"/>
      <c r="E670" s="5"/>
      <c r="F670" s="6"/>
      <c r="G670" s="7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</row>
    <row r="671" spans="1:24" x14ac:dyDescent="0.2">
      <c r="A671" s="6" t="s">
        <v>80</v>
      </c>
      <c r="B671" s="6" t="s">
        <v>201</v>
      </c>
      <c r="C671" s="5"/>
      <c r="D671" s="2"/>
      <c r="E671" s="5"/>
      <c r="F671" s="6"/>
      <c r="G671" s="7"/>
      <c r="I671" s="39"/>
      <c r="J671" s="43" t="s">
        <v>289</v>
      </c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</row>
    <row r="672" spans="1:24" x14ac:dyDescent="0.2">
      <c r="A672" s="5"/>
      <c r="B672" s="6" t="s">
        <v>202</v>
      </c>
      <c r="C672" s="5">
        <f>90</f>
        <v>90</v>
      </c>
      <c r="D672" s="2">
        <f>291</f>
        <v>291</v>
      </c>
      <c r="E672" s="5">
        <v>227</v>
      </c>
      <c r="F672" s="6"/>
      <c r="G672" s="7">
        <v>67</v>
      </c>
      <c r="H672" s="7">
        <v>190</v>
      </c>
      <c r="I672" s="39">
        <v>92</v>
      </c>
      <c r="J672" s="43" t="s">
        <v>290</v>
      </c>
      <c r="K672" s="39">
        <v>51</v>
      </c>
      <c r="L672" s="39">
        <v>70</v>
      </c>
      <c r="M672" s="39">
        <v>60</v>
      </c>
      <c r="N672" s="39">
        <v>51</v>
      </c>
      <c r="O672" s="39">
        <v>65</v>
      </c>
      <c r="P672" s="39">
        <v>48</v>
      </c>
      <c r="Q672" s="39">
        <v>58</v>
      </c>
      <c r="R672" s="39">
        <v>40</v>
      </c>
      <c r="S672" s="39">
        <v>56</v>
      </c>
      <c r="T672" s="39">
        <v>69</v>
      </c>
      <c r="U672" s="39">
        <v>19</v>
      </c>
      <c r="V672" s="39">
        <v>23</v>
      </c>
      <c r="W672" s="39">
        <v>42</v>
      </c>
      <c r="X672" s="39">
        <v>29</v>
      </c>
    </row>
    <row r="673" spans="1:24" x14ac:dyDescent="0.2">
      <c r="A673" s="5"/>
      <c r="B673" s="5"/>
      <c r="C673" s="5"/>
      <c r="D673" s="2"/>
      <c r="E673" s="5"/>
      <c r="F673" s="6"/>
      <c r="G673" s="7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</row>
    <row r="674" spans="1:24" x14ac:dyDescent="0.2">
      <c r="A674" s="5"/>
      <c r="B674" s="5"/>
      <c r="C674" s="5"/>
      <c r="D674" s="2"/>
      <c r="E674" s="5"/>
      <c r="F674" s="6"/>
      <c r="G674" s="7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</row>
    <row r="675" spans="1:24" x14ac:dyDescent="0.2">
      <c r="A675" s="5"/>
      <c r="B675" s="6" t="s">
        <v>231</v>
      </c>
      <c r="C675" s="5"/>
      <c r="D675" s="2"/>
      <c r="E675" s="5"/>
      <c r="F675" s="6"/>
      <c r="G675" s="7"/>
    </row>
    <row r="676" spans="1:24" x14ac:dyDescent="0.2">
      <c r="A676" s="6" t="s">
        <v>348</v>
      </c>
      <c r="B676" s="6" t="s">
        <v>247</v>
      </c>
      <c r="C676" s="5"/>
      <c r="D676" s="2"/>
      <c r="E676" s="5"/>
      <c r="F676" s="6"/>
      <c r="G676" s="8"/>
      <c r="H676" s="8"/>
      <c r="I676" s="48"/>
      <c r="J676" s="48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</row>
    <row r="677" spans="1:24" x14ac:dyDescent="0.2">
      <c r="A677" s="6" t="s">
        <v>336</v>
      </c>
      <c r="B677" s="6" t="s">
        <v>349</v>
      </c>
      <c r="C677" s="5"/>
      <c r="D677" s="2"/>
      <c r="E677" s="5"/>
      <c r="F677" s="6"/>
      <c r="G677" s="7"/>
    </row>
    <row r="678" spans="1:24" x14ac:dyDescent="0.2">
      <c r="A678" s="5" t="s">
        <v>4</v>
      </c>
      <c r="B678" s="5" t="s">
        <v>61</v>
      </c>
      <c r="C678" s="7">
        <f>4504</f>
        <v>4504</v>
      </c>
      <c r="D678" s="1">
        <f>8209</f>
        <v>8209</v>
      </c>
      <c r="E678" s="7">
        <v>9125</v>
      </c>
      <c r="F678" s="99"/>
      <c r="G678" s="7">
        <v>6006</v>
      </c>
      <c r="H678" s="7">
        <v>6881</v>
      </c>
      <c r="I678" s="39">
        <v>4717</v>
      </c>
      <c r="J678" s="39">
        <v>4726</v>
      </c>
      <c r="K678" s="39">
        <v>4868</v>
      </c>
      <c r="L678" s="39">
        <v>4137</v>
      </c>
      <c r="M678" s="39">
        <v>3782</v>
      </c>
      <c r="N678" s="39">
        <v>3446</v>
      </c>
      <c r="O678" s="39">
        <v>5409</v>
      </c>
      <c r="P678" s="39">
        <v>5211</v>
      </c>
      <c r="Q678" s="39">
        <v>2983</v>
      </c>
      <c r="R678" s="39">
        <v>3293</v>
      </c>
      <c r="S678" s="39">
        <v>3292</v>
      </c>
      <c r="T678" s="39">
        <v>2760</v>
      </c>
      <c r="U678" s="39">
        <v>2486</v>
      </c>
      <c r="V678" s="39">
        <v>2406</v>
      </c>
      <c r="W678" s="39">
        <v>2166</v>
      </c>
      <c r="X678" s="39">
        <v>2641</v>
      </c>
    </row>
    <row r="679" spans="1:24" x14ac:dyDescent="0.2">
      <c r="A679" s="5" t="s">
        <v>59</v>
      </c>
      <c r="B679" s="5" t="s">
        <v>9</v>
      </c>
      <c r="C679" s="7">
        <f>4337</f>
        <v>4337</v>
      </c>
      <c r="D679" s="1">
        <f>7423</f>
        <v>7423</v>
      </c>
      <c r="E679" s="7">
        <v>7626</v>
      </c>
      <c r="F679" s="99"/>
      <c r="G679" s="7">
        <v>6306</v>
      </c>
      <c r="H679" s="7">
        <v>6887</v>
      </c>
      <c r="I679" s="39">
        <v>6332</v>
      </c>
      <c r="J679" s="39">
        <v>5024</v>
      </c>
      <c r="K679" s="39">
        <v>4557</v>
      </c>
      <c r="L679" s="39">
        <v>4745</v>
      </c>
      <c r="M679" s="39">
        <v>4959</v>
      </c>
      <c r="N679" s="39">
        <v>3922</v>
      </c>
      <c r="O679" s="39">
        <v>3728</v>
      </c>
      <c r="P679" s="39">
        <v>4733</v>
      </c>
      <c r="Q679" s="39">
        <v>4979</v>
      </c>
      <c r="R679" s="39">
        <v>3872</v>
      </c>
      <c r="S679" s="39">
        <v>3499</v>
      </c>
      <c r="T679" s="39">
        <v>3781</v>
      </c>
      <c r="U679" s="39">
        <v>2848</v>
      </c>
      <c r="V679" s="39">
        <v>2422</v>
      </c>
      <c r="W679" s="39">
        <v>2391</v>
      </c>
      <c r="X679" s="39">
        <v>2521</v>
      </c>
    </row>
    <row r="680" spans="1:24" x14ac:dyDescent="0.2">
      <c r="A680" s="5" t="s">
        <v>80</v>
      </c>
      <c r="B680" s="5" t="s">
        <v>64</v>
      </c>
      <c r="C680" s="7">
        <f>5671</f>
        <v>5671</v>
      </c>
      <c r="D680" s="1">
        <f>7401</f>
        <v>7401</v>
      </c>
      <c r="E680" s="7">
        <v>8906</v>
      </c>
      <c r="F680" s="99"/>
      <c r="G680" s="7">
        <v>8594</v>
      </c>
      <c r="H680" s="7">
        <v>8589</v>
      </c>
      <c r="I680" s="39">
        <v>7014</v>
      </c>
      <c r="J680" s="39">
        <v>6708</v>
      </c>
      <c r="K680" s="39">
        <v>7021</v>
      </c>
      <c r="L680" s="39">
        <v>6509</v>
      </c>
      <c r="M680" s="39">
        <v>5293</v>
      </c>
      <c r="N680" s="39">
        <v>4810</v>
      </c>
      <c r="O680" s="39">
        <v>6489</v>
      </c>
      <c r="P680" s="39">
        <v>6898</v>
      </c>
      <c r="Q680" s="39">
        <v>5169</v>
      </c>
      <c r="R680" s="39">
        <v>4560</v>
      </c>
      <c r="S680" s="39">
        <v>4348</v>
      </c>
      <c r="T680" s="39">
        <v>3362</v>
      </c>
      <c r="U680" s="39">
        <v>3006</v>
      </c>
      <c r="V680" s="39">
        <v>3005</v>
      </c>
      <c r="W680" s="39">
        <v>2784</v>
      </c>
      <c r="X680" s="39">
        <v>2906</v>
      </c>
    </row>
    <row r="681" spans="1:24" x14ac:dyDescent="0.2">
      <c r="A681" s="5" t="s">
        <v>82</v>
      </c>
      <c r="B681" s="5" t="s">
        <v>13</v>
      </c>
      <c r="C681" s="5"/>
      <c r="D681" s="2"/>
      <c r="E681" s="7"/>
      <c r="F681" s="7"/>
      <c r="G681" s="7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</row>
    <row r="682" spans="1:24" x14ac:dyDescent="0.2">
      <c r="A682" s="5" t="s">
        <v>84</v>
      </c>
      <c r="B682" s="5" t="s">
        <v>232</v>
      </c>
      <c r="C682" s="7">
        <f>4254</f>
        <v>4254</v>
      </c>
      <c r="D682" s="1">
        <f>7348</f>
        <v>7348</v>
      </c>
      <c r="E682" s="7">
        <v>7606</v>
      </c>
      <c r="F682" s="7"/>
      <c r="G682" s="7">
        <v>6289</v>
      </c>
      <c r="H682" s="7">
        <v>6836</v>
      </c>
      <c r="I682" s="39">
        <v>6268</v>
      </c>
      <c r="J682" s="39">
        <v>4986</v>
      </c>
      <c r="K682" s="39">
        <v>4514</v>
      </c>
      <c r="L682" s="39">
        <v>4681</v>
      </c>
      <c r="M682" s="39">
        <v>4921</v>
      </c>
      <c r="N682" s="39">
        <v>3893</v>
      </c>
      <c r="O682" s="39">
        <v>3683</v>
      </c>
      <c r="P682" s="39">
        <v>4674</v>
      </c>
      <c r="Q682" s="39">
        <v>4934</v>
      </c>
      <c r="R682" s="39">
        <v>3834</v>
      </c>
      <c r="S682" s="39">
        <v>3435</v>
      </c>
      <c r="T682" s="39">
        <v>3728</v>
      </c>
      <c r="U682" s="39">
        <v>2810</v>
      </c>
      <c r="V682" s="39">
        <v>2366</v>
      </c>
      <c r="W682" s="39">
        <v>2356</v>
      </c>
      <c r="X682" s="39">
        <v>2480</v>
      </c>
    </row>
    <row r="683" spans="1:24" x14ac:dyDescent="0.2">
      <c r="A683" s="5" t="s">
        <v>85</v>
      </c>
      <c r="B683" s="5" t="s">
        <v>233</v>
      </c>
      <c r="C683" s="5">
        <f>79</f>
        <v>79</v>
      </c>
      <c r="D683" s="1">
        <f>66</f>
        <v>66</v>
      </c>
      <c r="E683" s="7">
        <v>13</v>
      </c>
      <c r="F683" s="7"/>
      <c r="G683" s="7">
        <v>10</v>
      </c>
      <c r="H683" s="7">
        <v>47</v>
      </c>
      <c r="I683" s="39">
        <v>60</v>
      </c>
      <c r="J683" s="39">
        <v>32</v>
      </c>
      <c r="K683" s="39">
        <v>39</v>
      </c>
      <c r="L683" s="39">
        <v>62</v>
      </c>
      <c r="M683" s="39">
        <v>28</v>
      </c>
      <c r="N683" s="39">
        <v>17</v>
      </c>
      <c r="O683" s="39">
        <v>37</v>
      </c>
      <c r="P683" s="39">
        <v>42</v>
      </c>
      <c r="Q683" s="39">
        <v>37</v>
      </c>
      <c r="R683" s="39">
        <v>33</v>
      </c>
      <c r="S683" s="39">
        <v>64</v>
      </c>
      <c r="T683" s="39">
        <v>53</v>
      </c>
      <c r="U683" s="39">
        <v>38</v>
      </c>
      <c r="V683" s="39">
        <v>56</v>
      </c>
      <c r="W683" s="39">
        <v>35</v>
      </c>
      <c r="X683" s="39">
        <v>41</v>
      </c>
    </row>
    <row r="684" spans="1:24" x14ac:dyDescent="0.2">
      <c r="A684" s="5" t="s">
        <v>86</v>
      </c>
      <c r="B684" s="5" t="s">
        <v>234</v>
      </c>
      <c r="C684" s="5"/>
      <c r="D684" s="2"/>
      <c r="E684" s="7"/>
      <c r="F684" s="7"/>
      <c r="G684" s="7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</row>
    <row r="685" spans="1:24" x14ac:dyDescent="0.2">
      <c r="A685" s="5"/>
      <c r="B685" s="5" t="s">
        <v>235</v>
      </c>
      <c r="C685" s="5">
        <f>4</f>
        <v>4</v>
      </c>
      <c r="D685" s="1">
        <f>9</f>
        <v>9</v>
      </c>
      <c r="E685" s="5">
        <v>7</v>
      </c>
      <c r="F685" s="5"/>
      <c r="G685" s="7">
        <v>7</v>
      </c>
      <c r="H685" s="7">
        <v>4</v>
      </c>
      <c r="I685" s="39">
        <v>4</v>
      </c>
      <c r="J685" s="39">
        <v>6</v>
      </c>
      <c r="K685" s="39">
        <v>4</v>
      </c>
      <c r="L685" s="39">
        <v>2</v>
      </c>
      <c r="M685" s="39">
        <v>10</v>
      </c>
      <c r="N685" s="39">
        <v>12</v>
      </c>
      <c r="O685" s="39">
        <v>8</v>
      </c>
      <c r="P685" s="39">
        <v>17</v>
      </c>
      <c r="Q685" s="39">
        <v>8</v>
      </c>
      <c r="R685" s="39">
        <v>5</v>
      </c>
      <c r="S685" s="39" t="s">
        <v>329</v>
      </c>
      <c r="T685" s="39" t="s">
        <v>329</v>
      </c>
      <c r="U685" s="39" t="s">
        <v>329</v>
      </c>
      <c r="V685" s="39" t="s">
        <v>329</v>
      </c>
      <c r="W685" s="39" t="s">
        <v>329</v>
      </c>
      <c r="X685" s="105" t="s">
        <v>329</v>
      </c>
    </row>
    <row r="686" spans="1:24" x14ac:dyDescent="0.2">
      <c r="A686" s="5"/>
      <c r="B686" s="5"/>
      <c r="C686" s="5"/>
      <c r="D686" s="2"/>
      <c r="E686" s="5"/>
      <c r="F686" s="5"/>
      <c r="G686" s="7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</row>
    <row r="687" spans="1:24" x14ac:dyDescent="0.2">
      <c r="A687" s="5" t="s">
        <v>88</v>
      </c>
      <c r="B687" s="5" t="s">
        <v>56</v>
      </c>
      <c r="C687" s="5"/>
      <c r="D687" s="2"/>
      <c r="E687" s="5"/>
      <c r="F687" s="5"/>
      <c r="G687" s="7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</row>
    <row r="688" spans="1:24" x14ac:dyDescent="0.2">
      <c r="A688" s="5"/>
      <c r="B688" s="5" t="s">
        <v>57</v>
      </c>
      <c r="C688" s="22">
        <f>11.7</f>
        <v>11.7</v>
      </c>
      <c r="D688" s="33">
        <f>10.3</f>
        <v>10.3</v>
      </c>
      <c r="E688" s="5">
        <v>9.3000000000000007</v>
      </c>
      <c r="F688" s="5"/>
      <c r="G688" s="24">
        <v>11.4</v>
      </c>
      <c r="H688" s="24">
        <v>13</v>
      </c>
      <c r="I688" s="40">
        <v>16.2</v>
      </c>
      <c r="J688" s="40">
        <v>16.2</v>
      </c>
      <c r="K688" s="40">
        <v>18.3</v>
      </c>
      <c r="L688" s="40">
        <v>18.7</v>
      </c>
      <c r="M688" s="40">
        <v>18.7</v>
      </c>
      <c r="N688" s="40">
        <v>16.3</v>
      </c>
      <c r="O688" s="40">
        <v>15.5</v>
      </c>
      <c r="P688" s="40">
        <v>13</v>
      </c>
      <c r="Q688" s="40">
        <v>15.6</v>
      </c>
      <c r="R688" s="40">
        <v>18.899999999999999</v>
      </c>
      <c r="S688" s="40">
        <v>17.100000000000001</v>
      </c>
      <c r="T688" s="40">
        <v>16.100000000000001</v>
      </c>
      <c r="U688" s="40">
        <v>16.3</v>
      </c>
      <c r="V688" s="40">
        <v>14.7</v>
      </c>
      <c r="W688" s="40">
        <v>14.8</v>
      </c>
      <c r="X688" s="40">
        <v>14.9</v>
      </c>
    </row>
    <row r="689" spans="1:24" x14ac:dyDescent="0.2">
      <c r="A689" s="5"/>
      <c r="B689" s="5"/>
      <c r="C689" s="5"/>
      <c r="D689" s="2"/>
      <c r="E689" s="5"/>
      <c r="F689" s="5"/>
      <c r="G689" s="7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</row>
    <row r="690" spans="1:24" hidden="1" outlineLevel="1" x14ac:dyDescent="0.2">
      <c r="A690" s="5"/>
      <c r="B690" s="5"/>
      <c r="C690" s="5"/>
      <c r="D690" s="63">
        <f>1993</f>
        <v>1993</v>
      </c>
      <c r="E690" s="63">
        <f>1994</f>
        <v>1994</v>
      </c>
      <c r="F690" s="63"/>
      <c r="G690" s="64">
        <v>1995</v>
      </c>
      <c r="H690" s="64">
        <v>1996</v>
      </c>
      <c r="I690" s="38">
        <v>1997</v>
      </c>
      <c r="J690" s="38">
        <v>1998</v>
      </c>
      <c r="K690" s="38">
        <v>1999</v>
      </c>
      <c r="L690" s="38">
        <v>2000</v>
      </c>
      <c r="M690" s="38">
        <v>2001</v>
      </c>
      <c r="N690" s="38">
        <v>2002</v>
      </c>
      <c r="O690" s="38">
        <v>2003</v>
      </c>
      <c r="P690" s="38">
        <v>2004</v>
      </c>
      <c r="Q690" s="38">
        <v>2005</v>
      </c>
      <c r="R690" s="38">
        <v>2006</v>
      </c>
      <c r="S690" s="38">
        <v>2007</v>
      </c>
      <c r="T690" s="38">
        <v>2008</v>
      </c>
      <c r="U690" s="38">
        <v>2009</v>
      </c>
    </row>
    <row r="691" spans="1:24" collapsed="1" x14ac:dyDescent="0.2">
      <c r="A691" s="6" t="s">
        <v>337</v>
      </c>
      <c r="B691" s="6" t="s">
        <v>616</v>
      </c>
      <c r="C691" s="5"/>
      <c r="D691" s="2"/>
      <c r="E691" s="5"/>
      <c r="F691" s="5"/>
      <c r="G691" s="7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</row>
    <row r="692" spans="1:24" x14ac:dyDescent="0.2">
      <c r="A692" s="5" t="s">
        <v>4</v>
      </c>
      <c r="B692" s="5" t="s">
        <v>61</v>
      </c>
      <c r="C692" s="7">
        <f>2407</f>
        <v>2407</v>
      </c>
      <c r="D692" s="1">
        <f>2830</f>
        <v>2830</v>
      </c>
      <c r="E692" s="7">
        <v>2515</v>
      </c>
      <c r="F692" s="7"/>
      <c r="G692" s="7">
        <v>2851</v>
      </c>
      <c r="H692" s="7">
        <v>3962</v>
      </c>
      <c r="I692" s="39">
        <v>2636</v>
      </c>
      <c r="J692" s="39">
        <v>3009</v>
      </c>
      <c r="K692" s="39">
        <v>2816</v>
      </c>
      <c r="L692" s="39">
        <v>2581</v>
      </c>
      <c r="M692" s="39">
        <v>2529</v>
      </c>
      <c r="N692" s="39">
        <v>2807</v>
      </c>
      <c r="O692" s="39">
        <v>3498</v>
      </c>
      <c r="P692" s="39">
        <v>3945</v>
      </c>
      <c r="Q692" s="39">
        <v>2411</v>
      </c>
      <c r="R692" s="39">
        <v>2583</v>
      </c>
      <c r="S692" s="39">
        <v>2897</v>
      </c>
      <c r="T692" s="39">
        <v>2315</v>
      </c>
      <c r="U692" s="39">
        <v>2160</v>
      </c>
      <c r="V692" s="39">
        <v>2011</v>
      </c>
      <c r="W692" s="39">
        <v>1761</v>
      </c>
      <c r="X692" s="39">
        <v>1858</v>
      </c>
    </row>
    <row r="693" spans="1:24" x14ac:dyDescent="0.2">
      <c r="A693" s="5" t="s">
        <v>59</v>
      </c>
      <c r="B693" s="5" t="s">
        <v>9</v>
      </c>
      <c r="C693" s="7">
        <f>2648</f>
        <v>2648</v>
      </c>
      <c r="D693" s="1">
        <f>2815</f>
        <v>2815</v>
      </c>
      <c r="E693" s="7">
        <v>2505</v>
      </c>
      <c r="F693" s="7"/>
      <c r="G693" s="7">
        <v>2391</v>
      </c>
      <c r="H693" s="7">
        <v>3373</v>
      </c>
      <c r="I693" s="39">
        <v>3361</v>
      </c>
      <c r="J693" s="39">
        <v>3005</v>
      </c>
      <c r="K693" s="39">
        <v>2698</v>
      </c>
      <c r="L693" s="39">
        <v>2883</v>
      </c>
      <c r="M693" s="39">
        <v>2616</v>
      </c>
      <c r="N693" s="39">
        <v>2677</v>
      </c>
      <c r="O693" s="39">
        <v>2737</v>
      </c>
      <c r="P693" s="39">
        <v>3357</v>
      </c>
      <c r="Q693" s="39">
        <v>3589</v>
      </c>
      <c r="R693" s="39">
        <v>3032</v>
      </c>
      <c r="S693" s="39">
        <v>2814</v>
      </c>
      <c r="T693" s="39">
        <v>2934</v>
      </c>
      <c r="U693" s="39">
        <v>2379</v>
      </c>
      <c r="V693" s="39">
        <v>2119</v>
      </c>
      <c r="W693" s="39">
        <v>2029</v>
      </c>
      <c r="X693" s="39">
        <v>1927</v>
      </c>
    </row>
    <row r="694" spans="1:24" x14ac:dyDescent="0.2">
      <c r="A694" s="5" t="s">
        <v>80</v>
      </c>
      <c r="B694" s="5" t="s">
        <v>64</v>
      </c>
      <c r="C694" s="7">
        <f>2847</f>
        <v>2847</v>
      </c>
      <c r="D694" s="1">
        <f>3229</f>
        <v>3229</v>
      </c>
      <c r="E694" s="7">
        <v>3242</v>
      </c>
      <c r="F694" s="7"/>
      <c r="G694" s="7">
        <v>3704</v>
      </c>
      <c r="H694" s="7">
        <v>4289</v>
      </c>
      <c r="I694" s="39">
        <v>3608</v>
      </c>
      <c r="J694" s="39">
        <v>3603</v>
      </c>
      <c r="K694" s="39">
        <v>3723</v>
      </c>
      <c r="L694" s="39">
        <v>3497</v>
      </c>
      <c r="M694" s="39">
        <v>3399</v>
      </c>
      <c r="N694" s="39">
        <v>3528</v>
      </c>
      <c r="O694" s="39">
        <v>4295</v>
      </c>
      <c r="P694" s="39">
        <v>4741</v>
      </c>
      <c r="Q694" s="39">
        <v>3787</v>
      </c>
      <c r="R694" s="39">
        <v>3292</v>
      </c>
      <c r="S694" s="39">
        <v>3371</v>
      </c>
      <c r="T694" s="39">
        <v>2779</v>
      </c>
      <c r="U694" s="39">
        <v>2565</v>
      </c>
      <c r="V694" s="39">
        <v>2471</v>
      </c>
      <c r="W694" s="39">
        <v>2206</v>
      </c>
      <c r="X694" s="39">
        <v>2139</v>
      </c>
    </row>
    <row r="695" spans="1:24" x14ac:dyDescent="0.2">
      <c r="A695" s="5" t="s">
        <v>82</v>
      </c>
      <c r="B695" s="5" t="s">
        <v>13</v>
      </c>
      <c r="C695" s="5"/>
      <c r="D695" s="2"/>
      <c r="E695" s="7"/>
      <c r="F695" s="7"/>
      <c r="G695" s="7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</row>
    <row r="696" spans="1:24" x14ac:dyDescent="0.2">
      <c r="A696" s="5" t="s">
        <v>84</v>
      </c>
      <c r="B696" s="5" t="s">
        <v>232</v>
      </c>
      <c r="C696" s="7">
        <f>2565</f>
        <v>2565</v>
      </c>
      <c r="D696" s="1">
        <f>2746</f>
        <v>2746</v>
      </c>
      <c r="E696" s="7">
        <v>2489</v>
      </c>
      <c r="F696" s="7"/>
      <c r="G696" s="7">
        <v>2374</v>
      </c>
      <c r="H696" s="7">
        <v>3322</v>
      </c>
      <c r="I696" s="39">
        <v>3297</v>
      </c>
      <c r="J696" s="39">
        <v>2969</v>
      </c>
      <c r="K696" s="39">
        <v>2657</v>
      </c>
      <c r="L696" s="39">
        <v>2819</v>
      </c>
      <c r="M696" s="39">
        <v>2578</v>
      </c>
      <c r="N696" s="39">
        <v>2649</v>
      </c>
      <c r="O696" s="39">
        <v>2692</v>
      </c>
      <c r="P696" s="39">
        <v>3298</v>
      </c>
      <c r="Q696" s="39">
        <v>3544</v>
      </c>
      <c r="R696" s="39">
        <v>2994</v>
      </c>
      <c r="S696" s="39">
        <v>2752</v>
      </c>
      <c r="T696" s="39">
        <v>2881</v>
      </c>
      <c r="U696" s="39">
        <v>2342</v>
      </c>
      <c r="V696" s="39">
        <v>2063</v>
      </c>
      <c r="W696" s="39">
        <v>1994</v>
      </c>
      <c r="X696" s="39">
        <v>1886</v>
      </c>
    </row>
    <row r="697" spans="1:24" x14ac:dyDescent="0.2">
      <c r="A697" s="5" t="s">
        <v>85</v>
      </c>
      <c r="B697" s="5" t="s">
        <v>233</v>
      </c>
      <c r="C697" s="5">
        <f>79</f>
        <v>79</v>
      </c>
      <c r="D697" s="1">
        <f>64</f>
        <v>64</v>
      </c>
      <c r="E697" s="7">
        <v>12</v>
      </c>
      <c r="F697" s="7"/>
      <c r="G697" s="7">
        <v>10</v>
      </c>
      <c r="H697" s="7">
        <v>47</v>
      </c>
      <c r="I697" s="39">
        <v>60</v>
      </c>
      <c r="J697" s="39">
        <v>31</v>
      </c>
      <c r="K697" s="39">
        <v>38</v>
      </c>
      <c r="L697" s="39">
        <v>62</v>
      </c>
      <c r="M697" s="39">
        <v>28</v>
      </c>
      <c r="N697" s="39">
        <v>17</v>
      </c>
      <c r="O697" s="39">
        <v>37</v>
      </c>
      <c r="P697" s="39">
        <v>42</v>
      </c>
      <c r="Q697" s="39">
        <v>37</v>
      </c>
      <c r="R697" s="39">
        <v>33</v>
      </c>
      <c r="S697" s="39">
        <v>62</v>
      </c>
      <c r="T697" s="39">
        <v>53</v>
      </c>
      <c r="U697" s="39">
        <v>37</v>
      </c>
      <c r="V697" s="39">
        <v>56</v>
      </c>
      <c r="W697" s="39">
        <v>35</v>
      </c>
      <c r="X697" s="39">
        <v>41</v>
      </c>
    </row>
    <row r="698" spans="1:24" x14ac:dyDescent="0.2">
      <c r="A698" s="5" t="s">
        <v>86</v>
      </c>
      <c r="B698" s="5" t="s">
        <v>234</v>
      </c>
      <c r="C698" s="5"/>
      <c r="D698" s="2"/>
      <c r="E698" s="5"/>
      <c r="F698" s="5"/>
      <c r="G698" s="7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</row>
    <row r="699" spans="1:24" x14ac:dyDescent="0.2">
      <c r="A699" s="5"/>
      <c r="B699" s="5" t="s">
        <v>235</v>
      </c>
      <c r="C699" s="5">
        <f>4</f>
        <v>4</v>
      </c>
      <c r="D699" s="1">
        <f>5</f>
        <v>5</v>
      </c>
      <c r="E699" s="5">
        <v>4</v>
      </c>
      <c r="F699" s="5"/>
      <c r="G699" s="7">
        <v>7</v>
      </c>
      <c r="H699" s="7">
        <v>4</v>
      </c>
      <c r="I699" s="39">
        <v>4</v>
      </c>
      <c r="J699" s="39">
        <v>5</v>
      </c>
      <c r="K699" s="39">
        <v>3</v>
      </c>
      <c r="L699" s="39">
        <v>2</v>
      </c>
      <c r="M699" s="39">
        <v>10</v>
      </c>
      <c r="N699" s="39">
        <v>11</v>
      </c>
      <c r="O699" s="39">
        <v>8</v>
      </c>
      <c r="P699" s="39">
        <v>17</v>
      </c>
      <c r="Q699" s="39">
        <v>8</v>
      </c>
      <c r="R699" s="39">
        <v>5</v>
      </c>
      <c r="S699" s="39" t="s">
        <v>329</v>
      </c>
      <c r="T699" s="39" t="s">
        <v>329</v>
      </c>
      <c r="U699" s="39" t="s">
        <v>329</v>
      </c>
      <c r="V699" s="39" t="s">
        <v>329</v>
      </c>
      <c r="W699" s="39" t="s">
        <v>329</v>
      </c>
      <c r="X699" s="105" t="s">
        <v>329</v>
      </c>
    </row>
    <row r="700" spans="1:24" x14ac:dyDescent="0.2">
      <c r="A700" s="5" t="s">
        <v>88</v>
      </c>
      <c r="B700" s="5" t="s">
        <v>56</v>
      </c>
      <c r="C700" s="5"/>
      <c r="D700" s="2"/>
      <c r="E700" s="5"/>
      <c r="F700" s="5"/>
      <c r="G700" s="7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</row>
    <row r="701" spans="1:24" x14ac:dyDescent="0.2">
      <c r="A701" s="5"/>
      <c r="B701" s="5" t="s">
        <v>57</v>
      </c>
      <c r="C701" s="22">
        <f>11.6</f>
        <v>11.6</v>
      </c>
      <c r="D701" s="33">
        <f>11.7</f>
        <v>11.7</v>
      </c>
      <c r="E701" s="5">
        <v>12.4</v>
      </c>
      <c r="F701" s="5"/>
      <c r="G701" s="24">
        <v>12.4</v>
      </c>
      <c r="H701" s="24">
        <v>11.9</v>
      </c>
      <c r="I701" s="40">
        <v>15.4</v>
      </c>
      <c r="J701" s="40">
        <v>14.6</v>
      </c>
      <c r="K701" s="40">
        <v>17.2</v>
      </c>
      <c r="L701" s="40">
        <v>15.6</v>
      </c>
      <c r="M701" s="40">
        <v>13.9</v>
      </c>
      <c r="N701" s="40">
        <v>14.9</v>
      </c>
      <c r="O701" s="40">
        <v>13.4</v>
      </c>
      <c r="P701" s="40">
        <v>12.6</v>
      </c>
      <c r="Q701" s="40">
        <v>14</v>
      </c>
      <c r="R701" s="40">
        <v>18.3</v>
      </c>
      <c r="S701" s="40">
        <v>15.4</v>
      </c>
      <c r="T701" s="40">
        <v>14.6</v>
      </c>
      <c r="U701" s="40">
        <v>15.3</v>
      </c>
      <c r="V701" s="40">
        <v>14</v>
      </c>
      <c r="W701" s="40">
        <v>14.3</v>
      </c>
      <c r="X701" s="40">
        <v>15.3</v>
      </c>
    </row>
    <row r="702" spans="1:24" x14ac:dyDescent="0.2">
      <c r="A702" s="5"/>
      <c r="B702" s="5"/>
      <c r="C702" s="5"/>
      <c r="D702" s="2"/>
      <c r="E702" s="5"/>
      <c r="F702" s="5"/>
      <c r="G702" s="7"/>
      <c r="I702" s="48"/>
      <c r="J702" s="48"/>
      <c r="K702" s="48"/>
      <c r="L702" s="48"/>
      <c r="M702" s="48"/>
      <c r="N702" s="48"/>
      <c r="O702" s="48"/>
      <c r="P702" s="21"/>
      <c r="Q702" s="21"/>
      <c r="R702" s="21"/>
      <c r="S702" s="21"/>
      <c r="T702" s="21"/>
      <c r="U702" s="21"/>
    </row>
    <row r="703" spans="1:24" x14ac:dyDescent="0.2">
      <c r="A703" s="5"/>
      <c r="B703" s="5"/>
      <c r="C703" s="5"/>
      <c r="D703" s="2"/>
      <c r="E703" s="5"/>
      <c r="F703" s="5"/>
      <c r="G703" s="7"/>
      <c r="I703" s="48"/>
      <c r="J703" s="48"/>
      <c r="K703" s="48"/>
      <c r="L703" s="48"/>
      <c r="M703" s="48"/>
      <c r="N703" s="48"/>
      <c r="O703" s="48"/>
      <c r="P703" s="21"/>
      <c r="Q703" s="21"/>
      <c r="R703" s="38">
        <v>2006</v>
      </c>
      <c r="S703" s="38">
        <v>2007</v>
      </c>
      <c r="T703" s="38">
        <v>2008</v>
      </c>
      <c r="U703" s="38">
        <v>2009</v>
      </c>
      <c r="V703" s="38">
        <v>2010</v>
      </c>
      <c r="W703" s="38">
        <v>2011</v>
      </c>
      <c r="X703" s="38">
        <v>2012</v>
      </c>
    </row>
    <row r="704" spans="1:24" x14ac:dyDescent="0.2">
      <c r="A704" s="6" t="s">
        <v>338</v>
      </c>
      <c r="B704" s="6" t="s">
        <v>350</v>
      </c>
      <c r="C704" s="5"/>
      <c r="D704" s="2"/>
      <c r="E704" s="5"/>
      <c r="F704" s="5"/>
      <c r="G704" s="7"/>
    </row>
    <row r="705" spans="1:24" x14ac:dyDescent="0.2">
      <c r="A705" s="5" t="s">
        <v>4</v>
      </c>
      <c r="B705" s="5" t="s">
        <v>61</v>
      </c>
      <c r="C705" s="7">
        <f>2097</f>
        <v>2097</v>
      </c>
      <c r="D705" s="1">
        <f>5379</f>
        <v>5379</v>
      </c>
      <c r="E705" s="7">
        <v>6610</v>
      </c>
      <c r="F705" s="7"/>
      <c r="G705" s="7">
        <v>3155</v>
      </c>
      <c r="H705" s="7">
        <v>2919</v>
      </c>
      <c r="I705" s="39">
        <v>2081</v>
      </c>
      <c r="J705" s="39">
        <v>1717</v>
      </c>
      <c r="K705" s="39">
        <v>2052</v>
      </c>
      <c r="L705" s="39">
        <v>1556</v>
      </c>
      <c r="M705" s="39">
        <v>1253</v>
      </c>
      <c r="N705" s="39">
        <v>639</v>
      </c>
      <c r="O705" s="39">
        <v>1911</v>
      </c>
      <c r="P705" s="39">
        <v>1266</v>
      </c>
      <c r="Q705" s="39">
        <v>572</v>
      </c>
      <c r="R705" s="39">
        <v>710</v>
      </c>
      <c r="S705" s="39">
        <v>395</v>
      </c>
      <c r="T705" s="39">
        <v>445</v>
      </c>
      <c r="U705" s="39">
        <v>326</v>
      </c>
      <c r="V705" s="39">
        <v>395</v>
      </c>
      <c r="W705" s="39">
        <v>405</v>
      </c>
      <c r="X705" s="39">
        <v>783</v>
      </c>
    </row>
    <row r="706" spans="1:24" x14ac:dyDescent="0.2">
      <c r="A706" s="5" t="s">
        <v>59</v>
      </c>
      <c r="B706" s="5" t="s">
        <v>9</v>
      </c>
      <c r="C706" s="7">
        <f>1689</f>
        <v>1689</v>
      </c>
      <c r="D706" s="1">
        <f>4608</f>
        <v>4608</v>
      </c>
      <c r="E706" s="7">
        <v>5121</v>
      </c>
      <c r="F706" s="7"/>
      <c r="G706" s="7">
        <v>3915</v>
      </c>
      <c r="H706" s="7">
        <v>3514</v>
      </c>
      <c r="I706" s="39">
        <v>2971</v>
      </c>
      <c r="J706" s="39">
        <v>2019</v>
      </c>
      <c r="K706" s="39">
        <v>1859</v>
      </c>
      <c r="L706" s="39">
        <v>1862</v>
      </c>
      <c r="M706" s="39">
        <v>2343</v>
      </c>
      <c r="N706" s="39">
        <v>1245</v>
      </c>
      <c r="O706" s="39">
        <v>991</v>
      </c>
      <c r="P706" s="39">
        <v>1376</v>
      </c>
      <c r="Q706" s="39">
        <v>1390</v>
      </c>
      <c r="R706" s="39">
        <v>840</v>
      </c>
      <c r="S706" s="39">
        <v>685</v>
      </c>
      <c r="T706" s="39">
        <v>847</v>
      </c>
      <c r="U706" s="39">
        <v>469</v>
      </c>
      <c r="V706" s="39">
        <v>303</v>
      </c>
      <c r="W706" s="39">
        <v>362</v>
      </c>
      <c r="X706" s="39">
        <v>594</v>
      </c>
    </row>
    <row r="707" spans="1:24" x14ac:dyDescent="0.2">
      <c r="A707" s="5" t="s">
        <v>80</v>
      </c>
      <c r="B707" s="5" t="s">
        <v>64</v>
      </c>
      <c r="C707" s="7">
        <f>2824</f>
        <v>2824</v>
      </c>
      <c r="D707" s="1">
        <f>4172</f>
        <v>4172</v>
      </c>
      <c r="E707" s="7">
        <v>5664</v>
      </c>
      <c r="F707" s="7"/>
      <c r="G707" s="7">
        <v>4890</v>
      </c>
      <c r="H707" s="7">
        <v>4300</v>
      </c>
      <c r="I707" s="39">
        <v>3406</v>
      </c>
      <c r="J707" s="39">
        <v>3105</v>
      </c>
      <c r="K707" s="39">
        <v>3298</v>
      </c>
      <c r="L707" s="39">
        <v>3012</v>
      </c>
      <c r="M707" s="39">
        <v>1894</v>
      </c>
      <c r="N707" s="39">
        <v>1282</v>
      </c>
      <c r="O707" s="39">
        <v>2194</v>
      </c>
      <c r="P707" s="39">
        <v>2157</v>
      </c>
      <c r="Q707" s="39">
        <v>1382</v>
      </c>
      <c r="R707" s="39">
        <v>1268</v>
      </c>
      <c r="S707" s="39">
        <v>977</v>
      </c>
      <c r="T707" s="39">
        <v>583</v>
      </c>
      <c r="U707" s="39">
        <v>441</v>
      </c>
      <c r="V707" s="39">
        <v>534</v>
      </c>
      <c r="W707" s="39">
        <v>578</v>
      </c>
      <c r="X707" s="39">
        <v>767</v>
      </c>
    </row>
    <row r="708" spans="1:24" x14ac:dyDescent="0.2">
      <c r="A708" s="5" t="s">
        <v>82</v>
      </c>
      <c r="B708" s="5" t="s">
        <v>13</v>
      </c>
      <c r="C708" s="5"/>
      <c r="D708" s="2"/>
      <c r="E708" s="7"/>
      <c r="F708" s="7"/>
      <c r="G708" s="7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</row>
    <row r="709" spans="1:24" x14ac:dyDescent="0.2">
      <c r="A709" s="5" t="s">
        <v>84</v>
      </c>
      <c r="B709" s="5" t="s">
        <v>232</v>
      </c>
      <c r="C709" s="7">
        <f>1689</f>
        <v>1689</v>
      </c>
      <c r="D709" s="1">
        <f>4602</f>
        <v>4602</v>
      </c>
      <c r="E709" s="7">
        <v>5117</v>
      </c>
      <c r="F709" s="7"/>
      <c r="G709" s="7">
        <v>3915</v>
      </c>
      <c r="H709" s="7">
        <v>3514</v>
      </c>
      <c r="I709" s="39">
        <v>2971</v>
      </c>
      <c r="J709" s="39">
        <v>2017</v>
      </c>
      <c r="K709" s="39">
        <v>1857</v>
      </c>
      <c r="L709" s="39">
        <v>1862</v>
      </c>
      <c r="M709" s="39">
        <v>2343</v>
      </c>
      <c r="N709" s="39">
        <v>1244</v>
      </c>
      <c r="O709" s="39">
        <v>991</v>
      </c>
      <c r="P709" s="39">
        <v>1376</v>
      </c>
      <c r="Q709" s="39">
        <v>1390</v>
      </c>
      <c r="R709" s="39">
        <v>840</v>
      </c>
      <c r="S709" s="39">
        <v>683</v>
      </c>
      <c r="T709" s="39">
        <v>847</v>
      </c>
      <c r="U709" s="39">
        <v>468</v>
      </c>
      <c r="V709" s="39">
        <v>303</v>
      </c>
      <c r="W709" s="39">
        <v>362</v>
      </c>
      <c r="X709" s="39">
        <v>594</v>
      </c>
    </row>
    <row r="710" spans="1:24" x14ac:dyDescent="0.2">
      <c r="A710" s="5" t="s">
        <v>85</v>
      </c>
      <c r="B710" s="5" t="s">
        <v>233</v>
      </c>
      <c r="C710" s="7" t="s">
        <v>98</v>
      </c>
      <c r="D710" s="1">
        <f>2</f>
        <v>2</v>
      </c>
      <c r="E710" s="7">
        <v>1</v>
      </c>
      <c r="F710" s="7"/>
      <c r="G710" s="7">
        <v>0</v>
      </c>
      <c r="H710" s="7">
        <v>0</v>
      </c>
      <c r="I710" s="39">
        <v>0</v>
      </c>
      <c r="J710" s="39">
        <v>1</v>
      </c>
      <c r="K710" s="39">
        <v>1</v>
      </c>
      <c r="L710" s="39">
        <v>0</v>
      </c>
      <c r="M710" s="39">
        <v>0</v>
      </c>
      <c r="N710" s="39">
        <v>0</v>
      </c>
      <c r="O710" s="39">
        <v>0</v>
      </c>
      <c r="P710" s="39">
        <v>0</v>
      </c>
      <c r="Q710" s="39">
        <v>0</v>
      </c>
      <c r="R710" s="39">
        <v>0</v>
      </c>
      <c r="S710" s="39">
        <v>2</v>
      </c>
      <c r="T710" s="39">
        <v>0</v>
      </c>
      <c r="U710" s="39">
        <v>1</v>
      </c>
      <c r="V710" s="39">
        <v>0</v>
      </c>
      <c r="W710" s="39">
        <v>0</v>
      </c>
      <c r="X710" s="39">
        <v>0</v>
      </c>
    </row>
    <row r="711" spans="1:24" x14ac:dyDescent="0.2">
      <c r="A711" s="5" t="s">
        <v>86</v>
      </c>
      <c r="B711" s="5" t="s">
        <v>234</v>
      </c>
      <c r="C711" s="5"/>
      <c r="D711" s="2"/>
      <c r="E711" s="7"/>
      <c r="F711" s="7"/>
      <c r="G711" s="7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</row>
    <row r="712" spans="1:24" x14ac:dyDescent="0.2">
      <c r="A712" s="5"/>
      <c r="B712" s="5" t="s">
        <v>235</v>
      </c>
      <c r="C712" s="7" t="s">
        <v>98</v>
      </c>
      <c r="D712" s="1">
        <f>4</f>
        <v>4</v>
      </c>
      <c r="E712" s="7">
        <v>3</v>
      </c>
      <c r="F712" s="7"/>
      <c r="G712" s="7">
        <v>0</v>
      </c>
      <c r="H712" s="7">
        <v>0</v>
      </c>
      <c r="I712" s="39">
        <v>0</v>
      </c>
      <c r="J712" s="39">
        <v>1</v>
      </c>
      <c r="K712" s="39">
        <v>1</v>
      </c>
      <c r="L712" s="39">
        <v>0</v>
      </c>
      <c r="M712" s="39">
        <v>0</v>
      </c>
      <c r="N712" s="39">
        <v>1</v>
      </c>
      <c r="O712" s="39">
        <v>0</v>
      </c>
      <c r="P712" s="39">
        <v>0</v>
      </c>
      <c r="Q712" s="39">
        <v>0</v>
      </c>
      <c r="R712" s="39">
        <v>0</v>
      </c>
      <c r="S712" s="39" t="s">
        <v>329</v>
      </c>
      <c r="T712" s="39" t="s">
        <v>329</v>
      </c>
      <c r="U712" s="39" t="s">
        <v>329</v>
      </c>
      <c r="V712" s="39" t="s">
        <v>329</v>
      </c>
      <c r="W712" s="39" t="s">
        <v>329</v>
      </c>
      <c r="X712" s="105" t="s">
        <v>329</v>
      </c>
    </row>
    <row r="713" spans="1:24" x14ac:dyDescent="0.2">
      <c r="A713" s="5"/>
      <c r="B713" s="5"/>
      <c r="C713" s="7"/>
      <c r="D713" s="1"/>
      <c r="E713" s="7"/>
      <c r="F713" s="7"/>
      <c r="G713" s="7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</row>
    <row r="714" spans="1:24" x14ac:dyDescent="0.2">
      <c r="A714" s="5" t="s">
        <v>88</v>
      </c>
      <c r="B714" s="5" t="s">
        <v>56</v>
      </c>
      <c r="C714" s="5"/>
      <c r="D714" s="2"/>
      <c r="E714" s="7"/>
      <c r="F714" s="7"/>
      <c r="G714" s="7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</row>
    <row r="715" spans="1:24" x14ac:dyDescent="0.2">
      <c r="A715" s="5"/>
      <c r="B715" s="5" t="s">
        <v>57</v>
      </c>
      <c r="C715" s="22">
        <f>11.8</f>
        <v>11.8</v>
      </c>
      <c r="D715" s="2">
        <f>9.5</f>
        <v>9.5</v>
      </c>
      <c r="E715" s="5">
        <v>7.7</v>
      </c>
      <c r="F715" s="5"/>
      <c r="G715" s="24">
        <v>10.9</v>
      </c>
      <c r="H715" s="24">
        <v>14.1</v>
      </c>
      <c r="I715" s="40">
        <v>17.100000000000001</v>
      </c>
      <c r="J715" s="40">
        <v>18.5</v>
      </c>
      <c r="K715" s="40">
        <v>19.899999999999999</v>
      </c>
      <c r="L715" s="40">
        <v>23.4</v>
      </c>
      <c r="M715" s="40">
        <v>23.9</v>
      </c>
      <c r="N715" s="40">
        <v>19.3</v>
      </c>
      <c r="O715" s="40">
        <v>21.5</v>
      </c>
      <c r="P715" s="40">
        <v>14</v>
      </c>
      <c r="Q715" s="40">
        <v>19.8</v>
      </c>
      <c r="R715" s="40">
        <v>21</v>
      </c>
      <c r="S715" s="40">
        <v>24</v>
      </c>
      <c r="T715" s="40">
        <v>21.4</v>
      </c>
      <c r="U715" s="40">
        <v>21.2</v>
      </c>
      <c r="V715" s="40">
        <v>19.399999999999999</v>
      </c>
      <c r="W715" s="40">
        <v>17.399999999999999</v>
      </c>
      <c r="X715" s="40">
        <v>13.7</v>
      </c>
    </row>
    <row r="716" spans="1:24" x14ac:dyDescent="0.2">
      <c r="A716" s="5"/>
      <c r="B716" s="5"/>
      <c r="C716" s="5"/>
      <c r="D716" s="2"/>
      <c r="E716" s="5"/>
      <c r="F716" s="5"/>
      <c r="G716" s="7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</row>
    <row r="717" spans="1:24" x14ac:dyDescent="0.2">
      <c r="A717" s="6" t="s">
        <v>339</v>
      </c>
      <c r="B717" s="6" t="s">
        <v>273</v>
      </c>
      <c r="C717" s="5"/>
      <c r="D717" s="2"/>
      <c r="E717" s="5"/>
      <c r="F717" s="5"/>
      <c r="G717" s="7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</row>
    <row r="718" spans="1:24" x14ac:dyDescent="0.2">
      <c r="A718" s="6" t="s">
        <v>352</v>
      </c>
      <c r="B718" s="57" t="s">
        <v>351</v>
      </c>
      <c r="C718" s="5"/>
      <c r="D718" s="2"/>
      <c r="E718" s="5"/>
      <c r="F718" s="5"/>
      <c r="G718" s="7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</row>
    <row r="719" spans="1:24" x14ac:dyDescent="0.2">
      <c r="A719" s="6" t="s">
        <v>2</v>
      </c>
      <c r="B719" s="6" t="s">
        <v>706</v>
      </c>
      <c r="C719" s="5"/>
      <c r="D719" s="2"/>
      <c r="E719" s="5"/>
      <c r="F719" s="5"/>
      <c r="G719" s="7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</row>
    <row r="720" spans="1:24" hidden="1" outlineLevel="1" x14ac:dyDescent="0.2">
      <c r="A720" s="6" t="s">
        <v>2</v>
      </c>
      <c r="B720" s="6" t="s">
        <v>614</v>
      </c>
      <c r="C720" s="5"/>
      <c r="D720" s="2"/>
      <c r="E720" s="5"/>
      <c r="F720" s="5"/>
      <c r="G720" s="7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</row>
    <row r="721" spans="1:24" collapsed="1" x14ac:dyDescent="0.2">
      <c r="A721" s="5" t="s">
        <v>4</v>
      </c>
      <c r="B721" s="5" t="s">
        <v>61</v>
      </c>
      <c r="C721" s="7">
        <f>2528</f>
        <v>2528</v>
      </c>
      <c r="D721" s="1">
        <f>5054</f>
        <v>5054</v>
      </c>
      <c r="E721" s="7">
        <v>5924</v>
      </c>
      <c r="F721" s="7"/>
      <c r="G721" s="7">
        <v>4077</v>
      </c>
      <c r="H721" s="7">
        <v>4076</v>
      </c>
      <c r="I721" s="39">
        <v>3620</v>
      </c>
      <c r="J721" s="39">
        <v>3239</v>
      </c>
      <c r="K721" s="39">
        <v>2862</v>
      </c>
      <c r="L721" s="39">
        <v>3121</v>
      </c>
      <c r="M721" s="39">
        <v>2677</v>
      </c>
      <c r="N721" s="39">
        <v>2753</v>
      </c>
      <c r="O721" s="39">
        <v>3106</v>
      </c>
      <c r="P721" s="39">
        <v>2817</v>
      </c>
      <c r="Q721" s="39">
        <v>1272</v>
      </c>
      <c r="R721" s="39">
        <v>1588</v>
      </c>
      <c r="S721" s="39">
        <v>3170</v>
      </c>
      <c r="T721" s="39">
        <v>3055</v>
      </c>
      <c r="U721" s="39">
        <v>3409</v>
      </c>
      <c r="V721" s="39">
        <v>3424</v>
      </c>
      <c r="W721" s="39">
        <v>3457</v>
      </c>
      <c r="X721" s="39">
        <v>4047</v>
      </c>
    </row>
    <row r="722" spans="1:24" x14ac:dyDescent="0.2">
      <c r="A722" s="5" t="s">
        <v>59</v>
      </c>
      <c r="B722" s="5" t="s">
        <v>9</v>
      </c>
      <c r="C722" s="7">
        <f>2688</f>
        <v>2688</v>
      </c>
      <c r="D722" s="1">
        <f>4368</f>
        <v>4368</v>
      </c>
      <c r="E722" s="7">
        <v>6147</v>
      </c>
      <c r="F722" s="7"/>
      <c r="G722" s="7">
        <v>4410</v>
      </c>
      <c r="H722" s="7">
        <v>4233</v>
      </c>
      <c r="I722" s="39">
        <v>3956</v>
      </c>
      <c r="J722" s="39">
        <v>3311</v>
      </c>
      <c r="K722" s="39">
        <v>2950</v>
      </c>
      <c r="L722" s="39">
        <v>3020</v>
      </c>
      <c r="M722" s="39">
        <v>2822</v>
      </c>
      <c r="N722" s="39">
        <v>2678</v>
      </c>
      <c r="O722" s="39">
        <v>3091</v>
      </c>
      <c r="P722" s="39">
        <v>2972</v>
      </c>
      <c r="Q722" s="39">
        <v>1558</v>
      </c>
      <c r="R722" s="39">
        <v>1507</v>
      </c>
      <c r="S722" s="39">
        <v>3288</v>
      </c>
      <c r="T722" s="39">
        <v>3011</v>
      </c>
      <c r="U722" s="39">
        <v>3457</v>
      </c>
      <c r="V722" s="39">
        <v>3441</v>
      </c>
      <c r="W722" s="39">
        <v>3527</v>
      </c>
      <c r="X722" s="39">
        <v>4037</v>
      </c>
    </row>
    <row r="723" spans="1:24" x14ac:dyDescent="0.2">
      <c r="A723" s="5" t="s">
        <v>80</v>
      </c>
      <c r="B723" s="5" t="s">
        <v>64</v>
      </c>
      <c r="C723" s="5">
        <f>774</f>
        <v>774</v>
      </c>
      <c r="D723" s="1">
        <f>1637</f>
        <v>1637</v>
      </c>
      <c r="E723" s="7">
        <v>1417</v>
      </c>
      <c r="F723" s="7"/>
      <c r="G723" s="7">
        <v>1096</v>
      </c>
      <c r="H723" s="7">
        <v>935</v>
      </c>
      <c r="I723" s="39">
        <v>596</v>
      </c>
      <c r="J723" s="39">
        <v>545</v>
      </c>
      <c r="K723" s="39">
        <v>457</v>
      </c>
      <c r="L723" s="39">
        <v>617</v>
      </c>
      <c r="M723" s="39">
        <v>442</v>
      </c>
      <c r="N723" s="39">
        <v>501</v>
      </c>
      <c r="O723" s="39">
        <v>521</v>
      </c>
      <c r="P723" s="39">
        <v>408</v>
      </c>
      <c r="Q723" s="39">
        <v>232</v>
      </c>
      <c r="R723" s="39">
        <v>297</v>
      </c>
      <c r="S723" s="39">
        <v>245</v>
      </c>
      <c r="T723" s="39">
        <v>280</v>
      </c>
      <c r="U723" s="39">
        <v>250</v>
      </c>
      <c r="V723" s="39">
        <v>264</v>
      </c>
      <c r="W723" s="39">
        <v>202</v>
      </c>
      <c r="X723" s="39">
        <v>227</v>
      </c>
    </row>
    <row r="724" spans="1:24" x14ac:dyDescent="0.2">
      <c r="A724" s="5"/>
      <c r="B724" s="5"/>
      <c r="C724" s="5"/>
      <c r="D724" s="2"/>
      <c r="E724" s="7"/>
      <c r="F724" s="7"/>
      <c r="G724" s="7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</row>
    <row r="725" spans="1:24" x14ac:dyDescent="0.2">
      <c r="A725" s="5" t="s">
        <v>82</v>
      </c>
      <c r="B725" s="5" t="s">
        <v>56</v>
      </c>
      <c r="C725" s="5"/>
      <c r="D725" s="2"/>
      <c r="E725" s="5"/>
      <c r="F725" s="5"/>
      <c r="G725" s="7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</row>
    <row r="726" spans="1:24" x14ac:dyDescent="0.2">
      <c r="A726" s="5"/>
      <c r="B726" s="5" t="s">
        <v>236</v>
      </c>
      <c r="C726" s="5">
        <f>2.8</f>
        <v>2.8</v>
      </c>
      <c r="D726" s="2">
        <f>2.6</f>
        <v>2.6</v>
      </c>
      <c r="E726" s="5">
        <v>2.5</v>
      </c>
      <c r="F726" s="5"/>
      <c r="G726" s="24">
        <v>3</v>
      </c>
      <c r="H726" s="24">
        <v>2.9</v>
      </c>
      <c r="I726" s="40">
        <v>2.6</v>
      </c>
      <c r="J726" s="40">
        <v>1.9</v>
      </c>
      <c r="K726" s="40">
        <v>1.6</v>
      </c>
      <c r="L726" s="40">
        <v>2.2999999999999998</v>
      </c>
      <c r="M726" s="40">
        <v>2.2000000000000002</v>
      </c>
      <c r="N726" s="40">
        <v>1.6</v>
      </c>
      <c r="O726" s="40">
        <v>1.8</v>
      </c>
      <c r="P726" s="40">
        <v>1.9</v>
      </c>
      <c r="Q726" s="40">
        <v>2.2999999999999998</v>
      </c>
      <c r="R726" s="40">
        <v>1.9</v>
      </c>
      <c r="S726" s="40">
        <v>1.9</v>
      </c>
      <c r="T726" s="40">
        <v>1.7</v>
      </c>
      <c r="U726" s="40">
        <v>1.7</v>
      </c>
      <c r="V726" s="40">
        <v>1.5</v>
      </c>
      <c r="W726" s="40">
        <v>1.6</v>
      </c>
      <c r="X726" s="40">
        <v>1.5</v>
      </c>
    </row>
    <row r="727" spans="1:24" x14ac:dyDescent="0.2">
      <c r="A727" s="5"/>
      <c r="B727" s="5"/>
      <c r="C727" s="5"/>
      <c r="D727" s="2"/>
      <c r="E727" s="5"/>
      <c r="F727" s="5"/>
      <c r="G727" s="7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</row>
    <row r="728" spans="1:24" x14ac:dyDescent="0.2">
      <c r="A728" s="6" t="s">
        <v>89</v>
      </c>
      <c r="B728" s="6" t="s">
        <v>626</v>
      </c>
      <c r="C728" s="5"/>
      <c r="D728" s="2"/>
      <c r="E728" s="5"/>
      <c r="F728" s="5"/>
      <c r="G728" s="7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</row>
    <row r="729" spans="1:24" x14ac:dyDescent="0.2">
      <c r="A729" s="5" t="s">
        <v>4</v>
      </c>
      <c r="B729" s="5" t="s">
        <v>61</v>
      </c>
      <c r="C729" s="7">
        <f>1472</f>
        <v>1472</v>
      </c>
      <c r="D729" s="1">
        <f>1530</f>
        <v>1530</v>
      </c>
      <c r="E729" s="7">
        <v>1573</v>
      </c>
      <c r="F729" s="7"/>
      <c r="G729" s="7">
        <v>2314</v>
      </c>
      <c r="H729" s="7">
        <v>2479</v>
      </c>
      <c r="I729" s="39">
        <v>2382</v>
      </c>
      <c r="J729" s="39">
        <v>2423</v>
      </c>
      <c r="K729" s="39">
        <v>2168</v>
      </c>
      <c r="L729" s="39">
        <v>2229</v>
      </c>
      <c r="M729" s="39">
        <v>2032</v>
      </c>
      <c r="N729" s="39">
        <v>2387</v>
      </c>
      <c r="O729" s="39">
        <v>2619</v>
      </c>
      <c r="P729" s="39">
        <v>2331</v>
      </c>
      <c r="Q729" s="39">
        <v>1073</v>
      </c>
      <c r="R729" s="39">
        <v>1271</v>
      </c>
      <c r="S729" s="39">
        <v>983</v>
      </c>
      <c r="T729" s="39">
        <v>895</v>
      </c>
      <c r="U729" s="39">
        <v>1207</v>
      </c>
      <c r="V729" s="39">
        <v>1280</v>
      </c>
      <c r="W729" s="39">
        <v>1169</v>
      </c>
      <c r="X729" s="39">
        <v>1297</v>
      </c>
    </row>
    <row r="730" spans="1:24" x14ac:dyDescent="0.2">
      <c r="A730" s="5" t="s">
        <v>59</v>
      </c>
      <c r="B730" s="5" t="s">
        <v>9</v>
      </c>
      <c r="C730" s="7">
        <f>1803</f>
        <v>1803</v>
      </c>
      <c r="D730" s="1">
        <f>1492</f>
        <v>1492</v>
      </c>
      <c r="E730" s="7">
        <v>1595</v>
      </c>
      <c r="F730" s="7"/>
      <c r="G730" s="7">
        <v>2106</v>
      </c>
      <c r="H730" s="7">
        <v>2458</v>
      </c>
      <c r="I730" s="39">
        <v>2534</v>
      </c>
      <c r="J730" s="39">
        <v>2470</v>
      </c>
      <c r="K730" s="39">
        <v>2225</v>
      </c>
      <c r="L730" s="39">
        <v>2242</v>
      </c>
      <c r="M730" s="39">
        <v>2081</v>
      </c>
      <c r="N730" s="39">
        <v>2277</v>
      </c>
      <c r="O730" s="39">
        <v>2654</v>
      </c>
      <c r="P730" s="39">
        <v>2438</v>
      </c>
      <c r="Q730" s="39">
        <v>1291</v>
      </c>
      <c r="R730" s="39">
        <v>1195</v>
      </c>
      <c r="S730" s="39">
        <v>1068</v>
      </c>
      <c r="T730" s="39">
        <v>912</v>
      </c>
      <c r="U730" s="39">
        <v>1187</v>
      </c>
      <c r="V730" s="39">
        <v>1285</v>
      </c>
      <c r="W730" s="39">
        <v>1177</v>
      </c>
      <c r="X730" s="39">
        <v>1324</v>
      </c>
    </row>
    <row r="731" spans="1:24" x14ac:dyDescent="0.2">
      <c r="A731" s="5" t="s">
        <v>80</v>
      </c>
      <c r="B731" s="5" t="s">
        <v>64</v>
      </c>
      <c r="C731" s="7">
        <f>320</f>
        <v>320</v>
      </c>
      <c r="D731" s="2">
        <f>390</f>
        <v>390</v>
      </c>
      <c r="E731" s="7">
        <v>377</v>
      </c>
      <c r="F731" s="7"/>
      <c r="G731" s="7">
        <v>585</v>
      </c>
      <c r="H731" s="7">
        <v>603</v>
      </c>
      <c r="I731" s="39">
        <v>461</v>
      </c>
      <c r="J731" s="39">
        <v>411</v>
      </c>
      <c r="K731" s="39">
        <v>354</v>
      </c>
      <c r="L731" s="39">
        <v>375</v>
      </c>
      <c r="M731" s="39">
        <v>333</v>
      </c>
      <c r="N731" s="39">
        <v>430</v>
      </c>
      <c r="O731" s="39">
        <v>403</v>
      </c>
      <c r="P731" s="39">
        <v>313</v>
      </c>
      <c r="Q731" s="39">
        <v>193</v>
      </c>
      <c r="R731" s="39">
        <v>260</v>
      </c>
      <c r="S731" s="39">
        <v>175</v>
      </c>
      <c r="T731" s="39">
        <v>148</v>
      </c>
      <c r="U731" s="39">
        <v>175</v>
      </c>
      <c r="V731" s="39">
        <v>176</v>
      </c>
      <c r="W731" s="39">
        <v>169</v>
      </c>
      <c r="X731" s="39">
        <v>144</v>
      </c>
    </row>
    <row r="732" spans="1:24" x14ac:dyDescent="0.2">
      <c r="A732" s="5"/>
      <c r="B732" s="5"/>
      <c r="C732" s="5"/>
      <c r="D732" s="2"/>
      <c r="E732" s="7"/>
      <c r="F732" s="7"/>
      <c r="G732" s="7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</row>
    <row r="733" spans="1:24" x14ac:dyDescent="0.2">
      <c r="A733" s="5" t="s">
        <v>82</v>
      </c>
      <c r="B733" s="5" t="s">
        <v>668</v>
      </c>
      <c r="C733" s="5"/>
      <c r="D733" s="2"/>
      <c r="E733" s="5"/>
      <c r="F733" s="5"/>
      <c r="G733" s="7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</row>
    <row r="734" spans="1:24" x14ac:dyDescent="0.2">
      <c r="A734" s="5"/>
      <c r="B734" s="5" t="s">
        <v>57</v>
      </c>
      <c r="C734" s="22">
        <f>2.8</f>
        <v>2.8</v>
      </c>
      <c r="D734" s="2">
        <f>2.1</f>
        <v>2.1</v>
      </c>
      <c r="E734" s="24">
        <v>3</v>
      </c>
      <c r="F734" s="24"/>
      <c r="G734" s="24">
        <v>2.2000000000000002</v>
      </c>
      <c r="H734" s="24">
        <v>2.5</v>
      </c>
      <c r="I734" s="40">
        <v>3</v>
      </c>
      <c r="J734" s="40">
        <v>2</v>
      </c>
      <c r="K734" s="40">
        <v>1.7</v>
      </c>
      <c r="L734" s="40">
        <v>2.4</v>
      </c>
      <c r="M734" s="40">
        <v>1.9</v>
      </c>
      <c r="N734" s="40">
        <v>1.6</v>
      </c>
      <c r="O734" s="40">
        <v>1.8</v>
      </c>
      <c r="P734" s="40">
        <v>1.8</v>
      </c>
      <c r="Q734" s="40">
        <v>2.2000000000000002</v>
      </c>
      <c r="R734" s="40">
        <v>1.9</v>
      </c>
      <c r="S734" s="40">
        <v>3.2</v>
      </c>
      <c r="T734" s="40">
        <v>2.1</v>
      </c>
      <c r="U734" s="40">
        <v>2.2999999999999998</v>
      </c>
      <c r="V734" s="40">
        <v>1.7</v>
      </c>
      <c r="W734" s="40">
        <v>2.1</v>
      </c>
      <c r="X734" s="40">
        <v>1.7</v>
      </c>
    </row>
    <row r="735" spans="1:24" x14ac:dyDescent="0.2">
      <c r="A735" s="5"/>
      <c r="B735" s="5"/>
      <c r="C735" s="5"/>
      <c r="D735" s="2"/>
      <c r="E735" s="5"/>
      <c r="F735" s="5"/>
      <c r="G735" s="7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</row>
    <row r="736" spans="1:24" x14ac:dyDescent="0.2">
      <c r="A736" s="6" t="s">
        <v>121</v>
      </c>
      <c r="B736" s="6" t="s">
        <v>238</v>
      </c>
      <c r="C736" s="5"/>
      <c r="D736" s="2"/>
      <c r="E736" s="5"/>
      <c r="F736" s="5"/>
      <c r="G736" s="7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</row>
    <row r="737" spans="1:24" x14ac:dyDescent="0.2">
      <c r="A737" s="5" t="s">
        <v>4</v>
      </c>
      <c r="B737" s="5" t="s">
        <v>61</v>
      </c>
      <c r="C737" s="7">
        <f>1056</f>
        <v>1056</v>
      </c>
      <c r="D737" s="1">
        <f>3524</f>
        <v>3524</v>
      </c>
      <c r="E737" s="7">
        <v>4351</v>
      </c>
      <c r="F737" s="7"/>
      <c r="G737" s="7">
        <v>1763</v>
      </c>
      <c r="H737" s="7">
        <v>1597</v>
      </c>
      <c r="I737" s="39">
        <v>1238</v>
      </c>
      <c r="J737" s="39">
        <v>816</v>
      </c>
      <c r="K737" s="39">
        <v>694</v>
      </c>
      <c r="L737" s="39">
        <v>892</v>
      </c>
      <c r="M737" s="39">
        <v>645</v>
      </c>
      <c r="N737" s="39">
        <v>366</v>
      </c>
      <c r="O737" s="39">
        <v>487</v>
      </c>
      <c r="P737" s="39">
        <v>486</v>
      </c>
      <c r="Q737" s="39">
        <v>199</v>
      </c>
      <c r="R737" s="39">
        <v>317</v>
      </c>
      <c r="S737" s="39">
        <v>147</v>
      </c>
      <c r="T737" s="39">
        <v>56</v>
      </c>
      <c r="U737" s="39">
        <v>85</v>
      </c>
      <c r="V737" s="39">
        <v>130</v>
      </c>
      <c r="W737" s="39">
        <v>138</v>
      </c>
      <c r="X737" s="39">
        <v>301</v>
      </c>
    </row>
    <row r="738" spans="1:24" x14ac:dyDescent="0.2">
      <c r="A738" s="5" t="s">
        <v>59</v>
      </c>
      <c r="B738" s="5" t="s">
        <v>9</v>
      </c>
      <c r="C738" s="7">
        <f>885</f>
        <v>885</v>
      </c>
      <c r="D738" s="1">
        <f>2876</f>
        <v>2876</v>
      </c>
      <c r="E738" s="7">
        <v>4552</v>
      </c>
      <c r="F738" s="7"/>
      <c r="G738" s="7">
        <v>2304</v>
      </c>
      <c r="H738" s="7">
        <v>1775</v>
      </c>
      <c r="I738" s="39">
        <v>1422</v>
      </c>
      <c r="J738" s="39">
        <v>841</v>
      </c>
      <c r="K738" s="39">
        <v>725</v>
      </c>
      <c r="L738" s="39">
        <v>778</v>
      </c>
      <c r="M738" s="39">
        <v>741</v>
      </c>
      <c r="N738" s="39">
        <v>401</v>
      </c>
      <c r="O738" s="39">
        <v>437</v>
      </c>
      <c r="P738" s="39">
        <v>534</v>
      </c>
      <c r="Q738" s="39">
        <v>267</v>
      </c>
      <c r="R738" s="39">
        <v>312</v>
      </c>
      <c r="S738" s="39">
        <v>167</v>
      </c>
      <c r="T738" s="39">
        <v>66</v>
      </c>
      <c r="U738" s="39">
        <v>80</v>
      </c>
      <c r="V738" s="39">
        <v>113</v>
      </c>
      <c r="W738" s="39">
        <v>143</v>
      </c>
      <c r="X738" s="39">
        <v>276</v>
      </c>
    </row>
    <row r="739" spans="1:24" x14ac:dyDescent="0.2">
      <c r="A739" s="5" t="s">
        <v>80</v>
      </c>
      <c r="B739" s="5" t="s">
        <v>64</v>
      </c>
      <c r="C739" s="7">
        <f>454</f>
        <v>454</v>
      </c>
      <c r="D739" s="1">
        <f>1247</f>
        <v>1247</v>
      </c>
      <c r="E739" s="7">
        <v>1040</v>
      </c>
      <c r="F739" s="7"/>
      <c r="G739" s="7">
        <v>511</v>
      </c>
      <c r="H739" s="7">
        <v>332</v>
      </c>
      <c r="I739" s="39">
        <v>135</v>
      </c>
      <c r="J739" s="39">
        <v>134</v>
      </c>
      <c r="K739" s="39">
        <v>103</v>
      </c>
      <c r="L739" s="39">
        <v>242</v>
      </c>
      <c r="M739" s="39">
        <v>109</v>
      </c>
      <c r="N739" s="39">
        <v>71</v>
      </c>
      <c r="O739" s="39">
        <v>118</v>
      </c>
      <c r="P739" s="39">
        <v>95</v>
      </c>
      <c r="Q739" s="39">
        <v>39</v>
      </c>
      <c r="R739" s="39">
        <v>37</v>
      </c>
      <c r="S739" s="39">
        <v>16</v>
      </c>
      <c r="T739" s="39">
        <v>6</v>
      </c>
      <c r="U739" s="39">
        <v>11</v>
      </c>
      <c r="V739" s="39">
        <v>29</v>
      </c>
      <c r="W739" s="39">
        <v>25</v>
      </c>
      <c r="X739" s="39">
        <v>50</v>
      </c>
    </row>
    <row r="740" spans="1:24" x14ac:dyDescent="0.2">
      <c r="A740" s="5"/>
      <c r="B740" s="5"/>
      <c r="C740" s="5"/>
      <c r="D740" s="2"/>
      <c r="E740" s="7"/>
      <c r="F740" s="7"/>
      <c r="G740" s="7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</row>
    <row r="741" spans="1:24" x14ac:dyDescent="0.2">
      <c r="A741" s="5" t="s">
        <v>82</v>
      </c>
      <c r="B741" s="5" t="s">
        <v>56</v>
      </c>
      <c r="C741" s="5"/>
      <c r="D741" s="2"/>
      <c r="E741" s="7"/>
      <c r="F741" s="7"/>
      <c r="G741" s="7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</row>
    <row r="742" spans="1:24" x14ac:dyDescent="0.2">
      <c r="A742" s="5"/>
      <c r="B742" s="5" t="s">
        <v>57</v>
      </c>
      <c r="C742" s="22">
        <f>2.8</f>
        <v>2.8</v>
      </c>
      <c r="D742" s="2">
        <f>2.9</f>
        <v>2.9</v>
      </c>
      <c r="E742" s="24">
        <v>2.2999999999999998</v>
      </c>
      <c r="F742" s="24"/>
      <c r="G742" s="24">
        <v>3.7</v>
      </c>
      <c r="H742" s="24">
        <v>3.6</v>
      </c>
      <c r="I742" s="40">
        <v>1.9</v>
      </c>
      <c r="J742" s="40">
        <v>1.7</v>
      </c>
      <c r="K742" s="40">
        <v>1.2</v>
      </c>
      <c r="L742" s="40">
        <v>2.1</v>
      </c>
      <c r="M742" s="40">
        <v>2.9</v>
      </c>
      <c r="N742" s="40">
        <v>1.9</v>
      </c>
      <c r="O742" s="40">
        <v>1.9</v>
      </c>
      <c r="P742" s="40">
        <v>2.7</v>
      </c>
      <c r="Q742" s="40">
        <v>2.9</v>
      </c>
      <c r="R742" s="40">
        <v>2.2000000000000002</v>
      </c>
      <c r="S742" s="40">
        <v>2.5</v>
      </c>
      <c r="T742" s="40">
        <v>1.8</v>
      </c>
      <c r="U742" s="40">
        <v>1.4</v>
      </c>
      <c r="V742" s="40">
        <v>0.9</v>
      </c>
      <c r="W742" s="40">
        <v>2.1</v>
      </c>
      <c r="X742" s="40">
        <v>1.6</v>
      </c>
    </row>
    <row r="743" spans="1:24" x14ac:dyDescent="0.2">
      <c r="A743" s="5"/>
      <c r="B743" s="5"/>
      <c r="C743" s="5"/>
      <c r="D743" s="2"/>
      <c r="E743" s="7"/>
      <c r="F743" s="7"/>
      <c r="G743" s="7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</row>
    <row r="744" spans="1:24" x14ac:dyDescent="0.2">
      <c r="A744" s="6" t="s">
        <v>239</v>
      </c>
      <c r="B744" s="6" t="s">
        <v>240</v>
      </c>
      <c r="C744" s="5"/>
      <c r="D744" s="2"/>
      <c r="E744" s="7"/>
      <c r="F744" s="7"/>
      <c r="G744" s="7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</row>
    <row r="745" spans="1:24" x14ac:dyDescent="0.2">
      <c r="A745" s="6"/>
      <c r="B745" s="6"/>
      <c r="C745" s="5"/>
      <c r="D745" s="2"/>
      <c r="E745" s="7"/>
      <c r="F745" s="7"/>
      <c r="G745" s="7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</row>
    <row r="746" spans="1:24" x14ac:dyDescent="0.2">
      <c r="A746" s="5" t="s">
        <v>4</v>
      </c>
      <c r="B746" s="5" t="s">
        <v>241</v>
      </c>
      <c r="C746" s="5"/>
      <c r="D746" s="2"/>
      <c r="E746" s="7"/>
      <c r="F746" s="7"/>
      <c r="G746" s="7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</row>
    <row r="747" spans="1:24" x14ac:dyDescent="0.2">
      <c r="A747" s="5"/>
      <c r="B747" s="5" t="s">
        <v>242</v>
      </c>
      <c r="C747" s="7">
        <f>1026</f>
        <v>1026</v>
      </c>
      <c r="D747" s="1">
        <f>1749</f>
        <v>1749</v>
      </c>
      <c r="E747" s="7">
        <v>1310</v>
      </c>
      <c r="F747" s="7"/>
      <c r="G747" s="7">
        <v>1004</v>
      </c>
      <c r="H747" s="7">
        <v>1074</v>
      </c>
      <c r="I747" s="39">
        <v>1053</v>
      </c>
      <c r="J747" s="39">
        <v>1258</v>
      </c>
      <c r="K747" s="39">
        <v>1031</v>
      </c>
      <c r="L747" s="39">
        <v>998</v>
      </c>
      <c r="M747" s="39">
        <v>1403</v>
      </c>
      <c r="N747" s="39">
        <v>2290</v>
      </c>
      <c r="O747" s="39">
        <v>2806</v>
      </c>
      <c r="P747" s="39">
        <v>2730</v>
      </c>
      <c r="Q747" s="39">
        <v>2078</v>
      </c>
      <c r="R747" s="39">
        <v>2223</v>
      </c>
      <c r="S747" s="39">
        <v>2040</v>
      </c>
      <c r="T747" s="39">
        <v>2104</v>
      </c>
      <c r="U747" s="39">
        <v>2117</v>
      </c>
      <c r="V747" s="39">
        <v>2014</v>
      </c>
      <c r="W747" s="39">
        <v>2150</v>
      </c>
      <c r="X747" s="39">
        <v>2449</v>
      </c>
    </row>
    <row r="748" spans="1:24" x14ac:dyDescent="0.2">
      <c r="A748" s="5" t="s">
        <v>59</v>
      </c>
      <c r="B748" s="5" t="s">
        <v>243</v>
      </c>
      <c r="C748" s="5">
        <f>196</f>
        <v>196</v>
      </c>
      <c r="D748" s="1">
        <f>321</f>
        <v>321</v>
      </c>
      <c r="E748" s="7">
        <v>362</v>
      </c>
      <c r="F748" s="7"/>
      <c r="G748" s="7">
        <v>398</v>
      </c>
      <c r="H748" s="7">
        <v>413</v>
      </c>
      <c r="I748" s="39">
        <v>337</v>
      </c>
      <c r="J748" s="39">
        <v>273</v>
      </c>
      <c r="K748" s="39">
        <v>179</v>
      </c>
      <c r="L748" s="39">
        <v>156</v>
      </c>
      <c r="M748" s="39">
        <v>165</v>
      </c>
      <c r="N748" s="39">
        <v>85</v>
      </c>
      <c r="O748" s="39">
        <v>75</v>
      </c>
      <c r="P748" s="39">
        <v>67</v>
      </c>
      <c r="Q748" s="39">
        <v>98</v>
      </c>
      <c r="R748" s="39">
        <v>153</v>
      </c>
      <c r="S748" s="39">
        <v>105</v>
      </c>
      <c r="T748" s="39">
        <v>82</v>
      </c>
      <c r="U748" s="39">
        <v>76</v>
      </c>
      <c r="V748" s="39">
        <v>53</v>
      </c>
      <c r="W748" s="39">
        <v>36</v>
      </c>
      <c r="X748" s="39">
        <v>24</v>
      </c>
    </row>
    <row r="749" spans="1:24" x14ac:dyDescent="0.2">
      <c r="A749" s="5" t="s">
        <v>80</v>
      </c>
      <c r="B749" s="5" t="s">
        <v>244</v>
      </c>
      <c r="C749" s="5"/>
      <c r="D749" s="2"/>
      <c r="E749" s="5"/>
      <c r="F749" s="5"/>
      <c r="G749" s="7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</row>
    <row r="750" spans="1:24" x14ac:dyDescent="0.2">
      <c r="A750" s="5"/>
      <c r="B750" s="5" t="s">
        <v>245</v>
      </c>
      <c r="C750" s="5">
        <f>6</f>
        <v>6</v>
      </c>
      <c r="D750" s="31">
        <v>0</v>
      </c>
      <c r="E750" s="5">
        <v>0</v>
      </c>
      <c r="F750" s="5"/>
      <c r="G750" s="7">
        <v>3</v>
      </c>
      <c r="H750" s="7">
        <v>0</v>
      </c>
      <c r="I750" s="39">
        <v>0</v>
      </c>
      <c r="J750" s="39">
        <v>1</v>
      </c>
      <c r="K750" s="39">
        <v>1</v>
      </c>
      <c r="L750" s="39">
        <v>0</v>
      </c>
      <c r="M750" s="39">
        <v>1</v>
      </c>
      <c r="N750" s="39">
        <v>0</v>
      </c>
      <c r="O750" s="39">
        <v>0</v>
      </c>
      <c r="P750" s="39">
        <v>1</v>
      </c>
      <c r="Q750" s="39">
        <v>2</v>
      </c>
      <c r="R750" s="39">
        <v>2</v>
      </c>
      <c r="S750" s="39">
        <v>1</v>
      </c>
      <c r="T750" s="39">
        <v>1</v>
      </c>
      <c r="U750" s="39">
        <v>2</v>
      </c>
      <c r="V750" s="39">
        <v>25</v>
      </c>
      <c r="W750" s="39">
        <v>1</v>
      </c>
      <c r="X750" s="39">
        <v>0</v>
      </c>
    </row>
    <row r="751" spans="1:24" x14ac:dyDescent="0.2">
      <c r="A751" s="5"/>
      <c r="B751" s="5"/>
      <c r="C751" s="5"/>
      <c r="D751" s="31"/>
      <c r="E751" s="5"/>
      <c r="F751" s="5"/>
      <c r="G751" s="7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</row>
    <row r="752" spans="1:24" x14ac:dyDescent="0.2">
      <c r="A752" s="5"/>
      <c r="B752" s="5"/>
      <c r="C752" s="5"/>
      <c r="D752" s="31"/>
      <c r="E752" s="5"/>
      <c r="F752" s="5"/>
      <c r="G752" s="7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</row>
    <row r="753" spans="1:24" hidden="1" outlineLevel="1" x14ac:dyDescent="0.2">
      <c r="A753" s="5"/>
      <c r="B753" s="5"/>
      <c r="C753" s="5"/>
      <c r="D753" s="63">
        <f>1993</f>
        <v>1993</v>
      </c>
      <c r="E753" s="63">
        <f>1994</f>
        <v>1994</v>
      </c>
      <c r="F753" s="63"/>
      <c r="G753" s="64">
        <v>1995</v>
      </c>
      <c r="H753" s="64">
        <v>1996</v>
      </c>
      <c r="I753" s="38">
        <v>1997</v>
      </c>
      <c r="J753" s="38">
        <v>1998</v>
      </c>
      <c r="K753" s="38">
        <v>1999</v>
      </c>
      <c r="L753" s="38">
        <v>2000</v>
      </c>
      <c r="M753" s="38">
        <v>2001</v>
      </c>
      <c r="N753" s="38">
        <v>2002</v>
      </c>
      <c r="O753" s="38">
        <v>2003</v>
      </c>
      <c r="P753" s="38">
        <v>2004</v>
      </c>
      <c r="Q753" s="38">
        <v>2005</v>
      </c>
      <c r="R753" s="38">
        <v>2006</v>
      </c>
      <c r="S753" s="38">
        <v>2007</v>
      </c>
      <c r="T753" s="38">
        <v>2008</v>
      </c>
      <c r="U753" s="38">
        <v>2009</v>
      </c>
    </row>
    <row r="754" spans="1:24" collapsed="1" x14ac:dyDescent="0.2">
      <c r="A754" s="5"/>
      <c r="B754" s="6" t="s">
        <v>246</v>
      </c>
      <c r="C754" s="5"/>
      <c r="D754" s="25"/>
      <c r="E754" s="25"/>
      <c r="F754" s="25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</row>
    <row r="755" spans="1:24" x14ac:dyDescent="0.2">
      <c r="A755" s="6" t="s">
        <v>216</v>
      </c>
      <c r="B755" s="6" t="s">
        <v>247</v>
      </c>
      <c r="C755" s="5"/>
      <c r="D755" s="2"/>
      <c r="E755" s="5"/>
      <c r="F755" s="5"/>
      <c r="G755" s="7"/>
    </row>
    <row r="756" spans="1:24" x14ac:dyDescent="0.2">
      <c r="A756" s="6" t="s">
        <v>2</v>
      </c>
      <c r="B756" s="6" t="s">
        <v>248</v>
      </c>
      <c r="C756" s="5"/>
      <c r="D756" s="2"/>
      <c r="E756" s="5"/>
      <c r="F756" s="5"/>
      <c r="G756" s="7"/>
    </row>
    <row r="757" spans="1:24" x14ac:dyDescent="0.2">
      <c r="A757" s="5" t="s">
        <v>4</v>
      </c>
      <c r="B757" s="5" t="s">
        <v>61</v>
      </c>
      <c r="C757" s="5">
        <f>6</f>
        <v>6</v>
      </c>
      <c r="D757" s="2">
        <f>9</f>
        <v>9</v>
      </c>
      <c r="E757" s="5">
        <v>1</v>
      </c>
      <c r="F757" s="5"/>
      <c r="G757" s="7">
        <v>9</v>
      </c>
      <c r="H757" s="7">
        <v>35</v>
      </c>
      <c r="I757" s="39">
        <v>3</v>
      </c>
      <c r="J757" s="39">
        <v>46</v>
      </c>
      <c r="K757" s="39">
        <v>9</v>
      </c>
      <c r="L757" s="39">
        <v>31</v>
      </c>
      <c r="M757" s="39">
        <v>7</v>
      </c>
      <c r="N757" s="39">
        <v>4</v>
      </c>
      <c r="O757" s="39">
        <v>8</v>
      </c>
      <c r="P757" s="39">
        <v>8</v>
      </c>
      <c r="Q757" s="39">
        <v>5</v>
      </c>
      <c r="R757" s="39">
        <v>11</v>
      </c>
      <c r="S757" s="39">
        <v>7</v>
      </c>
      <c r="T757" s="39">
        <v>14</v>
      </c>
      <c r="U757" s="39">
        <v>11</v>
      </c>
      <c r="V757" s="39">
        <v>9</v>
      </c>
      <c r="W757" s="39">
        <v>15</v>
      </c>
      <c r="X757" s="39">
        <v>4</v>
      </c>
    </row>
    <row r="758" spans="1:24" x14ac:dyDescent="0.2">
      <c r="A758" s="5" t="s">
        <v>59</v>
      </c>
      <c r="B758" s="5" t="s">
        <v>9</v>
      </c>
      <c r="C758" s="5">
        <f>7</f>
        <v>7</v>
      </c>
      <c r="D758" s="2">
        <f>10</f>
        <v>10</v>
      </c>
      <c r="E758" s="5">
        <v>24</v>
      </c>
      <c r="F758" s="5"/>
      <c r="G758" s="7">
        <v>52</v>
      </c>
      <c r="H758" s="7">
        <v>8</v>
      </c>
      <c r="I758" s="39">
        <v>8</v>
      </c>
      <c r="J758" s="39">
        <v>6</v>
      </c>
      <c r="K758" s="39">
        <v>35</v>
      </c>
      <c r="L758" s="39">
        <v>31</v>
      </c>
      <c r="M758" s="39">
        <v>14</v>
      </c>
      <c r="N758" s="39">
        <v>4</v>
      </c>
      <c r="O758" s="39">
        <v>15</v>
      </c>
      <c r="P758" s="39">
        <v>24</v>
      </c>
      <c r="Q758" s="39">
        <v>6</v>
      </c>
      <c r="R758" s="39">
        <v>7</v>
      </c>
      <c r="S758" s="39">
        <v>11</v>
      </c>
      <c r="T758" s="39">
        <v>10</v>
      </c>
      <c r="U758" s="39">
        <v>11</v>
      </c>
      <c r="V758" s="39">
        <v>10</v>
      </c>
      <c r="W758" s="39">
        <v>11</v>
      </c>
      <c r="X758" s="39">
        <v>13</v>
      </c>
    </row>
    <row r="759" spans="1:24" x14ac:dyDescent="0.2">
      <c r="A759" s="5" t="s">
        <v>80</v>
      </c>
      <c r="B759" s="5" t="s">
        <v>64</v>
      </c>
      <c r="C759" s="5">
        <f>16</f>
        <v>16</v>
      </c>
      <c r="D759" s="2">
        <f>82</f>
        <v>82</v>
      </c>
      <c r="E759" s="5">
        <v>59</v>
      </c>
      <c r="F759" s="5"/>
      <c r="G759" s="7">
        <v>15</v>
      </c>
      <c r="H759" s="7">
        <v>42</v>
      </c>
      <c r="I759" s="39">
        <v>38</v>
      </c>
      <c r="J759" s="39">
        <v>77</v>
      </c>
      <c r="K759" s="39">
        <v>51</v>
      </c>
      <c r="L759" s="39">
        <v>51</v>
      </c>
      <c r="M759" s="39">
        <v>45</v>
      </c>
      <c r="N759" s="39">
        <v>45</v>
      </c>
      <c r="O759" s="39">
        <v>37</v>
      </c>
      <c r="P759" s="39">
        <v>22</v>
      </c>
      <c r="Q759" s="39">
        <v>21</v>
      </c>
      <c r="R759" s="39">
        <v>25</v>
      </c>
      <c r="S759" s="39">
        <v>21</v>
      </c>
      <c r="T759" s="39">
        <v>25</v>
      </c>
      <c r="U759" s="39">
        <v>25</v>
      </c>
      <c r="V759" s="39">
        <v>24</v>
      </c>
      <c r="W759" s="39">
        <v>28</v>
      </c>
      <c r="X759" s="39">
        <v>19</v>
      </c>
    </row>
    <row r="760" spans="1:24" x14ac:dyDescent="0.2">
      <c r="A760" s="5" t="s">
        <v>82</v>
      </c>
      <c r="B760" s="5" t="s">
        <v>144</v>
      </c>
      <c r="C760" s="5"/>
      <c r="D760" s="2"/>
      <c r="E760" s="5"/>
      <c r="F760" s="5"/>
      <c r="G760" s="7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</row>
    <row r="761" spans="1:24" x14ac:dyDescent="0.2">
      <c r="A761" s="5"/>
      <c r="B761" s="5" t="s">
        <v>57</v>
      </c>
      <c r="C761" s="22">
        <f>29.5</f>
        <v>29.5</v>
      </c>
      <c r="D761" s="2">
        <f>29.7</f>
        <v>29.7</v>
      </c>
      <c r="E761" s="5">
        <v>35.799999999999997</v>
      </c>
      <c r="F761" s="5"/>
      <c r="G761" s="24">
        <v>47.7</v>
      </c>
      <c r="H761" s="24">
        <v>32.5</v>
      </c>
      <c r="I761" s="40">
        <v>18.8</v>
      </c>
      <c r="J761" s="40">
        <v>22.9</v>
      </c>
      <c r="K761" s="40">
        <v>37.4</v>
      </c>
      <c r="L761" s="40">
        <v>3.2</v>
      </c>
      <c r="M761" s="40">
        <v>33.9</v>
      </c>
      <c r="N761" s="40" t="s">
        <v>727</v>
      </c>
      <c r="O761" s="40">
        <v>46.2</v>
      </c>
      <c r="P761" s="40" t="s">
        <v>728</v>
      </c>
      <c r="Q761" s="40">
        <v>49.5</v>
      </c>
      <c r="R761" s="40">
        <v>37</v>
      </c>
      <c r="S761" s="40">
        <v>29.1</v>
      </c>
      <c r="T761" s="40">
        <v>41.7</v>
      </c>
      <c r="U761" s="40">
        <v>24.8</v>
      </c>
      <c r="V761" s="40">
        <v>27.3</v>
      </c>
      <c r="W761" s="40">
        <v>27.5</v>
      </c>
      <c r="X761" s="40">
        <v>35.6</v>
      </c>
    </row>
    <row r="762" spans="1:24" x14ac:dyDescent="0.2">
      <c r="A762" s="5"/>
      <c r="B762" s="5"/>
      <c r="C762" s="5"/>
      <c r="D762" s="2"/>
      <c r="E762" s="5"/>
      <c r="F762" s="5"/>
      <c r="G762" s="7"/>
    </row>
    <row r="763" spans="1:24" x14ac:dyDescent="0.2">
      <c r="A763" s="5"/>
      <c r="B763" s="5"/>
      <c r="C763" s="5"/>
      <c r="D763" s="2"/>
      <c r="E763" s="5"/>
      <c r="F763" s="5"/>
      <c r="G763" s="7"/>
      <c r="R763" s="38">
        <v>2006</v>
      </c>
      <c r="S763" s="38">
        <v>2007</v>
      </c>
      <c r="T763" s="38">
        <v>2008</v>
      </c>
      <c r="U763" s="38">
        <v>2009</v>
      </c>
      <c r="V763" s="38">
        <v>2010</v>
      </c>
      <c r="W763" s="38">
        <v>2011</v>
      </c>
      <c r="X763" s="38">
        <v>2012</v>
      </c>
    </row>
    <row r="764" spans="1:24" x14ac:dyDescent="0.2">
      <c r="A764" s="6" t="s">
        <v>89</v>
      </c>
      <c r="B764" s="6" t="s">
        <v>249</v>
      </c>
      <c r="C764" s="5"/>
      <c r="D764" s="2"/>
      <c r="E764" s="5"/>
      <c r="F764" s="5"/>
      <c r="G764" s="7"/>
    </row>
    <row r="765" spans="1:24" x14ac:dyDescent="0.2">
      <c r="A765" s="6"/>
      <c r="B765" s="6" t="s">
        <v>250</v>
      </c>
      <c r="C765" s="5"/>
      <c r="D765" s="2"/>
      <c r="E765" s="5"/>
      <c r="F765" s="5"/>
      <c r="G765" s="7"/>
    </row>
    <row r="766" spans="1:24" x14ac:dyDescent="0.2">
      <c r="A766" s="5" t="s">
        <v>4</v>
      </c>
      <c r="B766" s="5" t="s">
        <v>251</v>
      </c>
      <c r="C766" s="5"/>
      <c r="D766" s="2"/>
      <c r="E766" s="5"/>
      <c r="F766" s="5"/>
      <c r="G766" s="7"/>
    </row>
    <row r="767" spans="1:24" x14ac:dyDescent="0.2">
      <c r="A767" s="5" t="s">
        <v>5</v>
      </c>
      <c r="B767" s="5" t="s">
        <v>61</v>
      </c>
      <c r="C767" s="5">
        <f>740</f>
        <v>740</v>
      </c>
      <c r="D767" s="2">
        <f>799</f>
        <v>799</v>
      </c>
      <c r="E767" s="5">
        <v>745</v>
      </c>
      <c r="F767" s="5"/>
      <c r="G767" s="7">
        <v>783</v>
      </c>
      <c r="H767" s="7">
        <v>861</v>
      </c>
      <c r="I767" s="39">
        <v>679</v>
      </c>
      <c r="J767" s="39">
        <v>797</v>
      </c>
      <c r="K767" s="39">
        <v>623</v>
      </c>
      <c r="L767" s="39">
        <v>537</v>
      </c>
      <c r="M767" s="39">
        <v>522</v>
      </c>
      <c r="N767" s="39">
        <v>551</v>
      </c>
      <c r="O767" s="39">
        <v>537</v>
      </c>
      <c r="P767" s="39">
        <v>520</v>
      </c>
      <c r="Q767" s="39">
        <v>523</v>
      </c>
      <c r="R767" s="39">
        <v>413</v>
      </c>
      <c r="S767" s="39">
        <v>445</v>
      </c>
      <c r="T767" s="39">
        <v>577</v>
      </c>
      <c r="U767" s="39">
        <v>479</v>
      </c>
      <c r="V767" s="39">
        <v>370</v>
      </c>
      <c r="W767" s="39">
        <v>277</v>
      </c>
      <c r="X767" s="39">
        <v>307</v>
      </c>
    </row>
    <row r="768" spans="1:24" x14ac:dyDescent="0.2">
      <c r="A768" s="5" t="s">
        <v>8</v>
      </c>
      <c r="B768" s="5" t="s">
        <v>9</v>
      </c>
      <c r="C768" s="5">
        <f>650</f>
        <v>650</v>
      </c>
      <c r="D768" s="2">
        <f>888</f>
        <v>888</v>
      </c>
      <c r="E768" s="5">
        <v>758</v>
      </c>
      <c r="F768" s="5"/>
      <c r="G768" s="7">
        <v>740</v>
      </c>
      <c r="H768" s="7">
        <v>762</v>
      </c>
      <c r="I768" s="39">
        <v>692</v>
      </c>
      <c r="J768" s="39">
        <v>842</v>
      </c>
      <c r="K768" s="39">
        <v>836</v>
      </c>
      <c r="L768" s="39">
        <v>529</v>
      </c>
      <c r="M768" s="39">
        <v>563</v>
      </c>
      <c r="N768" s="39">
        <v>535</v>
      </c>
      <c r="O768" s="39">
        <v>395</v>
      </c>
      <c r="P768" s="39">
        <v>502</v>
      </c>
      <c r="Q768" s="39">
        <v>525</v>
      </c>
      <c r="R768" s="39">
        <v>486</v>
      </c>
      <c r="S768" s="39">
        <v>459</v>
      </c>
      <c r="T768" s="39">
        <v>498</v>
      </c>
      <c r="U768" s="39">
        <v>459</v>
      </c>
      <c r="V768" s="39">
        <v>650</v>
      </c>
      <c r="W768" s="39">
        <v>400</v>
      </c>
      <c r="X768" s="39">
        <v>363</v>
      </c>
    </row>
    <row r="769" spans="1:24" x14ac:dyDescent="0.2">
      <c r="A769" s="5" t="s">
        <v>10</v>
      </c>
      <c r="B769" s="5" t="s">
        <v>64</v>
      </c>
      <c r="C769" s="5">
        <f>731</f>
        <v>731</v>
      </c>
      <c r="D769" s="2">
        <f>664</f>
        <v>664</v>
      </c>
      <c r="E769" s="5">
        <v>651</v>
      </c>
      <c r="F769" s="5"/>
      <c r="G769" s="7">
        <v>693</v>
      </c>
      <c r="H769" s="7">
        <v>797</v>
      </c>
      <c r="I769" s="39">
        <v>783</v>
      </c>
      <c r="J769" s="39">
        <v>741</v>
      </c>
      <c r="K769" s="39">
        <v>530</v>
      </c>
      <c r="L769" s="39">
        <v>551</v>
      </c>
      <c r="M769" s="39">
        <v>506</v>
      </c>
      <c r="N769" s="39">
        <v>512</v>
      </c>
      <c r="O769" s="39">
        <v>667</v>
      </c>
      <c r="P769" s="39">
        <v>698</v>
      </c>
      <c r="Q769" s="39">
        <v>701</v>
      </c>
      <c r="R769" s="39">
        <v>641</v>
      </c>
      <c r="S769" s="39">
        <v>624</v>
      </c>
      <c r="T769" s="39">
        <v>706</v>
      </c>
      <c r="U769" s="39">
        <v>726</v>
      </c>
      <c r="V769" s="39">
        <v>445</v>
      </c>
      <c r="W769" s="39">
        <v>322</v>
      </c>
      <c r="X769" s="39">
        <v>267</v>
      </c>
    </row>
    <row r="770" spans="1:24" x14ac:dyDescent="0.2">
      <c r="A770" s="5" t="s">
        <v>12</v>
      </c>
      <c r="B770" s="5" t="s">
        <v>13</v>
      </c>
      <c r="C770" s="5"/>
      <c r="D770" s="2"/>
      <c r="E770" s="5"/>
      <c r="F770" s="5"/>
      <c r="G770" s="7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</row>
    <row r="771" spans="1:24" x14ac:dyDescent="0.2">
      <c r="A771" s="5" t="s">
        <v>14</v>
      </c>
      <c r="B771" s="5" t="s">
        <v>252</v>
      </c>
      <c r="C771" s="5">
        <f>450</f>
        <v>450</v>
      </c>
      <c r="D771" s="2">
        <f>427</f>
        <v>427</v>
      </c>
      <c r="E771" s="5">
        <v>433</v>
      </c>
      <c r="F771" s="5"/>
      <c r="G771" s="7">
        <v>321</v>
      </c>
      <c r="H771" s="7">
        <v>295</v>
      </c>
      <c r="I771" s="39">
        <v>290</v>
      </c>
      <c r="J771" s="39">
        <v>210</v>
      </c>
      <c r="K771" s="39">
        <v>327</v>
      </c>
      <c r="L771" s="39">
        <v>106</v>
      </c>
      <c r="M771" s="39">
        <v>145</v>
      </c>
      <c r="N771" s="39">
        <v>116</v>
      </c>
      <c r="O771" s="39">
        <v>69</v>
      </c>
      <c r="P771" s="39">
        <v>75</v>
      </c>
      <c r="Q771" s="39">
        <v>112</v>
      </c>
      <c r="R771" s="39">
        <v>96</v>
      </c>
      <c r="S771" s="39">
        <v>73</v>
      </c>
      <c r="T771" s="39">
        <v>95</v>
      </c>
      <c r="U771" s="39">
        <v>89</v>
      </c>
      <c r="V771" s="39">
        <v>85</v>
      </c>
      <c r="W771" s="39">
        <v>124</v>
      </c>
      <c r="X771" s="39">
        <v>82</v>
      </c>
    </row>
    <row r="772" spans="1:24" x14ac:dyDescent="0.2">
      <c r="A772" s="32" t="s">
        <v>17</v>
      </c>
      <c r="B772" s="5" t="s">
        <v>294</v>
      </c>
      <c r="C772" s="5"/>
      <c r="D772" s="2"/>
      <c r="E772" s="5"/>
      <c r="F772" s="5"/>
      <c r="G772" s="7"/>
      <c r="H772" s="7">
        <v>437</v>
      </c>
      <c r="I772" s="39">
        <v>384</v>
      </c>
      <c r="J772" s="39">
        <v>618</v>
      </c>
      <c r="K772" s="39">
        <v>466</v>
      </c>
      <c r="L772" s="39">
        <v>367</v>
      </c>
      <c r="M772" s="39">
        <v>395</v>
      </c>
      <c r="N772" s="39">
        <v>386</v>
      </c>
      <c r="O772" s="39">
        <v>314</v>
      </c>
      <c r="P772" s="39">
        <v>394</v>
      </c>
      <c r="Q772" s="39">
        <v>387</v>
      </c>
      <c r="R772" s="39">
        <v>364</v>
      </c>
      <c r="S772" s="39">
        <v>375</v>
      </c>
      <c r="T772" s="39">
        <v>396</v>
      </c>
      <c r="U772" s="39">
        <v>365</v>
      </c>
      <c r="V772" s="39">
        <v>560</v>
      </c>
      <c r="W772" s="39">
        <v>260</v>
      </c>
      <c r="X772" s="39">
        <v>271</v>
      </c>
    </row>
    <row r="773" spans="1:24" x14ac:dyDescent="0.2">
      <c r="A773" s="32" t="s">
        <v>20</v>
      </c>
      <c r="B773" s="5" t="s">
        <v>253</v>
      </c>
      <c r="C773" s="5">
        <f>200</f>
        <v>200</v>
      </c>
      <c r="D773" s="2">
        <f>460</f>
        <v>460</v>
      </c>
      <c r="E773" s="5">
        <v>325</v>
      </c>
      <c r="F773" s="5"/>
      <c r="G773" s="7">
        <v>419</v>
      </c>
      <c r="H773" s="7">
        <v>30</v>
      </c>
      <c r="I773" s="39">
        <v>12</v>
      </c>
      <c r="J773" s="39">
        <v>9</v>
      </c>
      <c r="K773" s="39">
        <v>18</v>
      </c>
      <c r="L773" s="39">
        <v>46</v>
      </c>
      <c r="M773" s="39">
        <f>12+1</f>
        <v>13</v>
      </c>
      <c r="N773" s="39">
        <v>18</v>
      </c>
      <c r="O773" s="39">
        <v>6</v>
      </c>
      <c r="P773" s="39">
        <v>16</v>
      </c>
      <c r="Q773" s="39">
        <v>14</v>
      </c>
      <c r="R773" s="39">
        <v>8</v>
      </c>
      <c r="S773" s="39">
        <v>6</v>
      </c>
      <c r="T773" s="39">
        <v>7</v>
      </c>
      <c r="U773" s="39">
        <v>5</v>
      </c>
      <c r="V773" s="39">
        <v>5</v>
      </c>
      <c r="W773" s="39">
        <v>17</v>
      </c>
      <c r="X773" s="39">
        <v>10</v>
      </c>
    </row>
    <row r="774" spans="1:24" x14ac:dyDescent="0.2">
      <c r="A774" s="32" t="s">
        <v>20</v>
      </c>
      <c r="B774" s="5" t="s">
        <v>254</v>
      </c>
      <c r="C774" s="7" t="s">
        <v>98</v>
      </c>
      <c r="D774" s="2">
        <f>1</f>
        <v>1</v>
      </c>
      <c r="E774" s="5">
        <v>0</v>
      </c>
      <c r="F774" s="5"/>
      <c r="G774" s="7">
        <v>0</v>
      </c>
      <c r="H774" s="7">
        <v>0</v>
      </c>
      <c r="I774" s="39">
        <v>6</v>
      </c>
      <c r="J774" s="39">
        <v>5</v>
      </c>
      <c r="K774" s="39">
        <v>25</v>
      </c>
      <c r="L774" s="39">
        <v>10</v>
      </c>
      <c r="M774" s="39">
        <v>10</v>
      </c>
      <c r="N774" s="39">
        <v>15</v>
      </c>
      <c r="O774" s="39">
        <v>6</v>
      </c>
      <c r="P774" s="39">
        <v>17</v>
      </c>
      <c r="Q774" s="39">
        <v>12</v>
      </c>
      <c r="R774" s="39">
        <v>17</v>
      </c>
      <c r="S774" s="39" t="s">
        <v>329</v>
      </c>
      <c r="T774" s="39" t="s">
        <v>329</v>
      </c>
      <c r="U774" s="39" t="s">
        <v>329</v>
      </c>
      <c r="V774" s="39" t="s">
        <v>329</v>
      </c>
      <c r="W774" s="39" t="s">
        <v>329</v>
      </c>
      <c r="X774" s="105" t="s">
        <v>329</v>
      </c>
    </row>
    <row r="775" spans="1:24" x14ac:dyDescent="0.2">
      <c r="A775" s="5"/>
      <c r="B775" s="5"/>
      <c r="C775" s="5"/>
      <c r="D775" s="2"/>
      <c r="E775" s="5"/>
      <c r="F775" s="5"/>
      <c r="G775" s="7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</row>
    <row r="776" spans="1:24" x14ac:dyDescent="0.2">
      <c r="A776" s="5" t="s">
        <v>55</v>
      </c>
      <c r="B776" s="5" t="s">
        <v>56</v>
      </c>
      <c r="C776" s="5"/>
      <c r="D776" s="2"/>
      <c r="E776" s="5"/>
      <c r="F776" s="5"/>
      <c r="G776" s="7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</row>
    <row r="777" spans="1:24" x14ac:dyDescent="0.2">
      <c r="A777" s="5"/>
      <c r="B777" s="5" t="s">
        <v>57</v>
      </c>
      <c r="C777" s="22">
        <f>15.9</f>
        <v>15.9</v>
      </c>
      <c r="D777" s="2">
        <f>10.6</f>
        <v>10.6</v>
      </c>
      <c r="E777" s="5">
        <v>10.4</v>
      </c>
      <c r="F777" s="5"/>
      <c r="G777" s="24">
        <v>8.1999999999999993</v>
      </c>
      <c r="H777" s="24">
        <v>9.1999999999999993</v>
      </c>
      <c r="I777" s="40">
        <v>9.1</v>
      </c>
      <c r="J777" s="40">
        <v>11.3</v>
      </c>
      <c r="K777" s="40">
        <v>11</v>
      </c>
      <c r="L777" s="40">
        <v>12.2</v>
      </c>
      <c r="M777" s="40">
        <v>13.1</v>
      </c>
      <c r="N777" s="40">
        <v>10.7</v>
      </c>
      <c r="O777" s="40">
        <v>11.1</v>
      </c>
      <c r="P777" s="40">
        <v>10.3</v>
      </c>
      <c r="Q777" s="40">
        <v>13.2</v>
      </c>
      <c r="R777" s="40">
        <v>18.100000000000001</v>
      </c>
      <c r="S777" s="40">
        <v>17</v>
      </c>
      <c r="T777" s="40">
        <v>22.5</v>
      </c>
      <c r="U777" s="40">
        <v>18.7</v>
      </c>
      <c r="V777" s="40">
        <v>17.8</v>
      </c>
      <c r="W777" s="40">
        <v>23.4</v>
      </c>
      <c r="X777" s="40">
        <v>19.399999999999999</v>
      </c>
    </row>
    <row r="778" spans="1:24" x14ac:dyDescent="0.2">
      <c r="A778" s="5"/>
      <c r="B778" s="5"/>
      <c r="C778" s="5"/>
      <c r="D778" s="2"/>
      <c r="E778" s="5"/>
      <c r="F778" s="5"/>
      <c r="G778" s="7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</row>
    <row r="779" spans="1:24" x14ac:dyDescent="0.2">
      <c r="A779" s="5" t="s">
        <v>59</v>
      </c>
      <c r="B779" s="5" t="s">
        <v>704</v>
      </c>
      <c r="C779" s="5"/>
      <c r="D779" s="2"/>
      <c r="E779" s="5"/>
      <c r="F779" s="5"/>
      <c r="G779" s="7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</row>
    <row r="780" spans="1:24" x14ac:dyDescent="0.2">
      <c r="A780" s="5" t="s">
        <v>60</v>
      </c>
      <c r="B780" s="5" t="s">
        <v>61</v>
      </c>
      <c r="C780" s="7">
        <f>508</f>
        <v>508</v>
      </c>
      <c r="D780" s="2">
        <f>482</f>
        <v>482</v>
      </c>
      <c r="E780" s="5">
        <v>355</v>
      </c>
      <c r="F780" s="5"/>
      <c r="G780" s="7">
        <v>310</v>
      </c>
      <c r="H780" s="7">
        <v>355</v>
      </c>
      <c r="I780" s="39">
        <v>341</v>
      </c>
      <c r="J780" s="39">
        <v>315</v>
      </c>
      <c r="K780" s="39">
        <v>329</v>
      </c>
      <c r="L780" s="39">
        <v>336</v>
      </c>
      <c r="M780" s="39">
        <v>340</v>
      </c>
      <c r="N780" s="39">
        <v>394</v>
      </c>
      <c r="O780" s="39">
        <v>436</v>
      </c>
      <c r="P780" s="39">
        <v>374</v>
      </c>
      <c r="Q780" s="39">
        <v>373</v>
      </c>
      <c r="R780" s="39">
        <v>321</v>
      </c>
      <c r="S780" s="39">
        <v>379</v>
      </c>
      <c r="T780" s="39">
        <v>320</v>
      </c>
      <c r="U780" s="39">
        <v>367</v>
      </c>
      <c r="V780" s="39">
        <v>343</v>
      </c>
      <c r="W780" s="39">
        <v>256</v>
      </c>
      <c r="X780" s="39">
        <v>271</v>
      </c>
    </row>
    <row r="781" spans="1:24" x14ac:dyDescent="0.2">
      <c r="A781" s="5" t="s">
        <v>62</v>
      </c>
      <c r="B781" s="5" t="s">
        <v>9</v>
      </c>
      <c r="C781" s="7">
        <f>412</f>
        <v>412</v>
      </c>
      <c r="D781" s="2">
        <f>428</f>
        <v>428</v>
      </c>
      <c r="E781" s="5">
        <v>407</v>
      </c>
      <c r="F781" s="5"/>
      <c r="G781" s="7">
        <v>335</v>
      </c>
      <c r="H781" s="7">
        <v>309</v>
      </c>
      <c r="I781" s="39">
        <v>403</v>
      </c>
      <c r="J781" s="39">
        <v>396</v>
      </c>
      <c r="K781" s="39">
        <v>332</v>
      </c>
      <c r="L781" s="39">
        <v>309</v>
      </c>
      <c r="M781" s="39">
        <v>322</v>
      </c>
      <c r="N781" s="39">
        <v>403</v>
      </c>
      <c r="O781" s="39">
        <v>287</v>
      </c>
      <c r="P781" s="39">
        <v>376</v>
      </c>
      <c r="Q781" s="39">
        <v>377</v>
      </c>
      <c r="R781" s="39">
        <v>376</v>
      </c>
      <c r="S781" s="39">
        <v>383</v>
      </c>
      <c r="T781" s="39">
        <v>390</v>
      </c>
      <c r="U781" s="39">
        <v>389</v>
      </c>
      <c r="V781" s="39">
        <v>345</v>
      </c>
      <c r="W781" s="39">
        <v>370</v>
      </c>
      <c r="X781" s="39">
        <v>315</v>
      </c>
    </row>
    <row r="782" spans="1:24" x14ac:dyDescent="0.2">
      <c r="A782" s="5" t="s">
        <v>63</v>
      </c>
      <c r="B782" s="5" t="s">
        <v>64</v>
      </c>
      <c r="C782" s="7">
        <f>529</f>
        <v>529</v>
      </c>
      <c r="D782" s="2">
        <f>506</f>
        <v>506</v>
      </c>
      <c r="E782" s="5">
        <v>453</v>
      </c>
      <c r="F782" s="5"/>
      <c r="G782" s="7">
        <v>427</v>
      </c>
      <c r="H782" s="7">
        <v>478</v>
      </c>
      <c r="I782" s="39">
        <v>415</v>
      </c>
      <c r="J782" s="39">
        <v>335</v>
      </c>
      <c r="K782" s="39">
        <v>333</v>
      </c>
      <c r="L782" s="39">
        <v>364</v>
      </c>
      <c r="M782" s="39">
        <v>380</v>
      </c>
      <c r="N782" s="39">
        <v>368</v>
      </c>
      <c r="O782" s="39">
        <v>527</v>
      </c>
      <c r="P782" s="39">
        <v>533</v>
      </c>
      <c r="Q782" s="39">
        <v>534</v>
      </c>
      <c r="R782" s="39">
        <v>496</v>
      </c>
      <c r="S782" s="39">
        <v>487</v>
      </c>
      <c r="T782" s="39">
        <v>419</v>
      </c>
      <c r="U782" s="39">
        <v>397</v>
      </c>
      <c r="V782" s="39">
        <v>395</v>
      </c>
      <c r="W782" s="39">
        <v>281</v>
      </c>
      <c r="X782" s="39">
        <v>238</v>
      </c>
    </row>
    <row r="783" spans="1:24" x14ac:dyDescent="0.2">
      <c r="A783" s="5" t="s">
        <v>65</v>
      </c>
      <c r="B783" s="5" t="s">
        <v>13</v>
      </c>
      <c r="C783" s="5"/>
      <c r="D783" s="2"/>
      <c r="E783" s="5"/>
      <c r="F783" s="5"/>
      <c r="G783" s="7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</row>
    <row r="784" spans="1:24" x14ac:dyDescent="0.2">
      <c r="A784" s="5" t="s">
        <v>66</v>
      </c>
      <c r="B784" s="5" t="s">
        <v>252</v>
      </c>
      <c r="C784" s="7">
        <f>392</f>
        <v>392</v>
      </c>
      <c r="D784" s="2">
        <f>384</f>
        <v>384</v>
      </c>
      <c r="E784" s="5">
        <v>394</v>
      </c>
      <c r="F784" s="5"/>
      <c r="G784" s="7">
        <v>306</v>
      </c>
      <c r="H784" s="7">
        <v>284</v>
      </c>
      <c r="I784" s="39">
        <v>278</v>
      </c>
      <c r="J784" s="39">
        <v>184</v>
      </c>
      <c r="K784" s="39">
        <v>94</v>
      </c>
      <c r="L784" s="39">
        <v>71</v>
      </c>
      <c r="M784" s="39">
        <v>80</v>
      </c>
      <c r="N784" s="39">
        <v>87</v>
      </c>
      <c r="O784" s="39">
        <v>57</v>
      </c>
      <c r="P784" s="39">
        <v>68</v>
      </c>
      <c r="Q784" s="39">
        <v>100</v>
      </c>
      <c r="R784" s="39">
        <v>80</v>
      </c>
      <c r="S784" s="39">
        <v>66</v>
      </c>
      <c r="T784" s="39">
        <v>89</v>
      </c>
      <c r="U784" s="39">
        <v>81</v>
      </c>
      <c r="V784" s="39">
        <v>79</v>
      </c>
      <c r="W784" s="39">
        <v>115</v>
      </c>
      <c r="X784" s="39">
        <v>78</v>
      </c>
    </row>
    <row r="785" spans="1:24" x14ac:dyDescent="0.2">
      <c r="A785" s="32" t="s">
        <v>67</v>
      </c>
      <c r="B785" s="5" t="s">
        <v>294</v>
      </c>
      <c r="C785" s="7"/>
      <c r="D785" s="2"/>
      <c r="E785" s="5"/>
      <c r="F785" s="5"/>
      <c r="G785" s="7"/>
      <c r="H785" s="7">
        <v>0</v>
      </c>
      <c r="I785" s="39">
        <v>107</v>
      </c>
      <c r="J785" s="39">
        <v>198</v>
      </c>
      <c r="K785" s="39">
        <v>195</v>
      </c>
      <c r="L785" s="39">
        <v>183</v>
      </c>
      <c r="M785" s="39">
        <v>219</v>
      </c>
      <c r="N785" s="39">
        <v>283</v>
      </c>
      <c r="O785" s="39">
        <v>218</v>
      </c>
      <c r="P785" s="39">
        <v>276</v>
      </c>
      <c r="Q785" s="39">
        <v>251</v>
      </c>
      <c r="R785" s="39">
        <v>271</v>
      </c>
      <c r="S785" s="39">
        <v>306</v>
      </c>
      <c r="T785" s="39">
        <v>294</v>
      </c>
      <c r="U785" s="39">
        <v>303</v>
      </c>
      <c r="V785" s="39">
        <v>261</v>
      </c>
      <c r="W785" s="39">
        <v>238</v>
      </c>
      <c r="X785" s="39">
        <v>227</v>
      </c>
    </row>
    <row r="786" spans="1:24" x14ac:dyDescent="0.2">
      <c r="A786" s="32" t="s">
        <v>68</v>
      </c>
      <c r="B786" s="5" t="s">
        <v>253</v>
      </c>
      <c r="C786" s="7">
        <f>20</f>
        <v>20</v>
      </c>
      <c r="D786" s="2">
        <f>43</f>
        <v>43</v>
      </c>
      <c r="E786" s="5">
        <v>13</v>
      </c>
      <c r="F786" s="5"/>
      <c r="G786" s="7">
        <v>29</v>
      </c>
      <c r="H786" s="7">
        <v>25</v>
      </c>
      <c r="I786" s="39">
        <v>12</v>
      </c>
      <c r="J786" s="39">
        <v>9</v>
      </c>
      <c r="K786" s="39">
        <v>18</v>
      </c>
      <c r="L786" s="39">
        <v>46</v>
      </c>
      <c r="M786" s="39">
        <f>12+1</f>
        <v>13</v>
      </c>
      <c r="N786" s="39">
        <v>18</v>
      </c>
      <c r="O786" s="39">
        <v>6</v>
      </c>
      <c r="P786" s="39">
        <v>16</v>
      </c>
      <c r="Q786" s="39">
        <v>14</v>
      </c>
      <c r="R786" s="39">
        <v>8</v>
      </c>
      <c r="S786" s="39">
        <v>6</v>
      </c>
      <c r="T786" s="39">
        <v>7</v>
      </c>
      <c r="U786" s="39">
        <v>5</v>
      </c>
      <c r="V786" s="39">
        <v>5</v>
      </c>
      <c r="W786" s="39">
        <v>17</v>
      </c>
      <c r="X786" s="39">
        <v>10</v>
      </c>
    </row>
    <row r="787" spans="1:24" x14ac:dyDescent="0.2">
      <c r="A787" s="32" t="s">
        <v>69</v>
      </c>
      <c r="B787" s="5" t="s">
        <v>254</v>
      </c>
      <c r="C787" s="7" t="s">
        <v>98</v>
      </c>
      <c r="D787" s="2">
        <f>1</f>
        <v>1</v>
      </c>
      <c r="E787" s="5">
        <v>0</v>
      </c>
      <c r="F787" s="5"/>
      <c r="G787" s="7">
        <v>0</v>
      </c>
      <c r="H787" s="7">
        <v>0</v>
      </c>
      <c r="I787" s="39">
        <v>6</v>
      </c>
      <c r="J787" s="39">
        <v>5</v>
      </c>
      <c r="K787" s="39">
        <v>25</v>
      </c>
      <c r="L787" s="39">
        <v>9</v>
      </c>
      <c r="M787" s="39">
        <v>10</v>
      </c>
      <c r="N787" s="39">
        <v>15</v>
      </c>
      <c r="O787" s="39">
        <v>6</v>
      </c>
      <c r="P787" s="39">
        <v>16</v>
      </c>
      <c r="Q787" s="39">
        <v>12</v>
      </c>
      <c r="R787" s="39">
        <v>16</v>
      </c>
      <c r="S787" s="39" t="s">
        <v>329</v>
      </c>
      <c r="T787" s="39" t="s">
        <v>329</v>
      </c>
      <c r="U787" s="39" t="s">
        <v>329</v>
      </c>
      <c r="V787" s="39" t="s">
        <v>329</v>
      </c>
      <c r="W787" s="39" t="s">
        <v>329</v>
      </c>
      <c r="X787" s="105" t="s">
        <v>329</v>
      </c>
    </row>
    <row r="788" spans="1:24" x14ac:dyDescent="0.2">
      <c r="A788" s="5"/>
      <c r="B788" s="5"/>
      <c r="C788" s="5"/>
      <c r="D788" s="2"/>
      <c r="E788" s="5"/>
      <c r="F788" s="5"/>
      <c r="G788" s="7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</row>
    <row r="789" spans="1:24" x14ac:dyDescent="0.2">
      <c r="A789" s="5" t="s">
        <v>72</v>
      </c>
      <c r="B789" s="5" t="s">
        <v>56</v>
      </c>
      <c r="C789" s="5"/>
      <c r="D789" s="2"/>
      <c r="E789" s="5"/>
      <c r="F789" s="5"/>
      <c r="G789" s="7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</row>
    <row r="790" spans="1:24" x14ac:dyDescent="0.2">
      <c r="A790" s="5"/>
      <c r="B790" s="5" t="s">
        <v>57</v>
      </c>
      <c r="C790" s="22">
        <f>16</f>
        <v>16</v>
      </c>
      <c r="D790" s="2">
        <f>12.6</f>
        <v>12.6</v>
      </c>
      <c r="E790" s="24">
        <v>13</v>
      </c>
      <c r="F790" s="24"/>
      <c r="G790" s="24">
        <v>12.6</v>
      </c>
      <c r="H790" s="24">
        <v>16.5</v>
      </c>
      <c r="I790" s="40">
        <v>11.1</v>
      </c>
      <c r="J790" s="40">
        <v>13.8</v>
      </c>
      <c r="K790" s="40">
        <v>11.4</v>
      </c>
      <c r="L790" s="40">
        <v>14</v>
      </c>
      <c r="M790" s="40">
        <v>11.7</v>
      </c>
      <c r="N790" s="40">
        <v>10.7</v>
      </c>
      <c r="O790" s="40">
        <v>11.8</v>
      </c>
      <c r="P790" s="40">
        <v>11.1</v>
      </c>
      <c r="Q790" s="40">
        <v>15.1</v>
      </c>
      <c r="R790" s="40">
        <v>16.2</v>
      </c>
      <c r="S790" s="40">
        <v>16.7</v>
      </c>
      <c r="T790" s="40">
        <v>21</v>
      </c>
      <c r="U790" s="40">
        <v>17</v>
      </c>
      <c r="V790" s="40">
        <v>15.5</v>
      </c>
      <c r="W790" s="40">
        <v>20.5</v>
      </c>
      <c r="X790" s="40">
        <v>16.3</v>
      </c>
    </row>
    <row r="791" spans="1:24" x14ac:dyDescent="0.2">
      <c r="A791" s="5"/>
      <c r="B791" s="5"/>
      <c r="C791" s="5"/>
      <c r="D791" s="2"/>
      <c r="E791" s="5"/>
      <c r="F791" s="5"/>
      <c r="G791" s="7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</row>
    <row r="792" spans="1:24" x14ac:dyDescent="0.2">
      <c r="A792" s="5" t="s">
        <v>80</v>
      </c>
      <c r="B792" s="5" t="s">
        <v>238</v>
      </c>
      <c r="C792" s="5"/>
      <c r="D792" s="2"/>
      <c r="E792" s="5"/>
      <c r="F792" s="5"/>
      <c r="G792" s="7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</row>
    <row r="793" spans="1:24" x14ac:dyDescent="0.2">
      <c r="A793" s="5" t="s">
        <v>255</v>
      </c>
      <c r="B793" s="5" t="s">
        <v>61</v>
      </c>
      <c r="C793" s="7">
        <f>232</f>
        <v>232</v>
      </c>
      <c r="D793" s="2">
        <f>317</f>
        <v>317</v>
      </c>
      <c r="E793" s="5">
        <v>390</v>
      </c>
      <c r="F793" s="5"/>
      <c r="G793" s="7">
        <v>473</v>
      </c>
      <c r="H793" s="7">
        <v>506</v>
      </c>
      <c r="I793" s="39">
        <v>338</v>
      </c>
      <c r="J793" s="39">
        <v>482</v>
      </c>
      <c r="K793" s="39">
        <v>294</v>
      </c>
      <c r="L793" s="39">
        <v>201</v>
      </c>
      <c r="M793" s="39">
        <v>182</v>
      </c>
      <c r="N793" s="39">
        <v>157</v>
      </c>
      <c r="O793" s="39">
        <v>101</v>
      </c>
      <c r="P793" s="39">
        <v>146</v>
      </c>
      <c r="Q793" s="39">
        <v>150</v>
      </c>
      <c r="R793" s="39">
        <v>92</v>
      </c>
      <c r="S793" s="39">
        <v>66</v>
      </c>
      <c r="T793" s="39">
        <v>257</v>
      </c>
      <c r="U793" s="39">
        <v>112</v>
      </c>
      <c r="V793" s="39">
        <v>27</v>
      </c>
      <c r="W793" s="39">
        <v>21</v>
      </c>
      <c r="X793" s="39">
        <v>36</v>
      </c>
    </row>
    <row r="794" spans="1:24" x14ac:dyDescent="0.2">
      <c r="A794" s="5" t="s">
        <v>256</v>
      </c>
      <c r="B794" s="5" t="s">
        <v>9</v>
      </c>
      <c r="C794" s="7">
        <f>238</f>
        <v>238</v>
      </c>
      <c r="D794" s="2">
        <f>460</f>
        <v>460</v>
      </c>
      <c r="E794" s="5">
        <v>351</v>
      </c>
      <c r="F794" s="5"/>
      <c r="G794" s="7">
        <v>405</v>
      </c>
      <c r="H794" s="7">
        <v>453</v>
      </c>
      <c r="I794" s="39">
        <v>289</v>
      </c>
      <c r="J794" s="39">
        <v>446</v>
      </c>
      <c r="K794" s="39">
        <v>504</v>
      </c>
      <c r="L794" s="39">
        <v>220</v>
      </c>
      <c r="M794" s="39">
        <v>241</v>
      </c>
      <c r="N794" s="39">
        <v>132</v>
      </c>
      <c r="O794" s="39">
        <v>108</v>
      </c>
      <c r="P794" s="39">
        <v>126</v>
      </c>
      <c r="Q794" s="39">
        <v>148</v>
      </c>
      <c r="R794" s="39">
        <v>110</v>
      </c>
      <c r="S794" s="39">
        <v>76</v>
      </c>
      <c r="T794" s="39">
        <v>108</v>
      </c>
      <c r="U794" s="39">
        <v>70</v>
      </c>
      <c r="V794" s="39">
        <v>305</v>
      </c>
      <c r="W794" s="39">
        <v>30</v>
      </c>
      <c r="X794" s="39">
        <v>48</v>
      </c>
    </row>
    <row r="795" spans="1:24" x14ac:dyDescent="0.2">
      <c r="A795" s="5" t="s">
        <v>257</v>
      </c>
      <c r="B795" s="5" t="s">
        <v>64</v>
      </c>
      <c r="C795" s="7">
        <f>202</f>
        <v>202</v>
      </c>
      <c r="D795" s="2">
        <f>158</f>
        <v>158</v>
      </c>
      <c r="E795" s="5">
        <v>198</v>
      </c>
      <c r="F795" s="5"/>
      <c r="G795" s="7">
        <v>266</v>
      </c>
      <c r="H795" s="7">
        <v>319</v>
      </c>
      <c r="I795" s="39">
        <v>368</v>
      </c>
      <c r="J795" s="39">
        <v>406</v>
      </c>
      <c r="K795" s="39">
        <v>197</v>
      </c>
      <c r="L795" s="39">
        <v>187</v>
      </c>
      <c r="M795" s="39">
        <v>126</v>
      </c>
      <c r="N795" s="39">
        <v>144</v>
      </c>
      <c r="O795" s="39">
        <v>140</v>
      </c>
      <c r="P795" s="39">
        <v>165</v>
      </c>
      <c r="Q795" s="39">
        <v>167</v>
      </c>
      <c r="R795" s="39">
        <v>145</v>
      </c>
      <c r="S795" s="39">
        <v>137</v>
      </c>
      <c r="T795" s="39">
        <v>287</v>
      </c>
      <c r="U795" s="39">
        <v>329</v>
      </c>
      <c r="V795" s="39">
        <v>50</v>
      </c>
      <c r="W795" s="39">
        <v>41</v>
      </c>
      <c r="X795" s="39">
        <v>29</v>
      </c>
    </row>
    <row r="796" spans="1:24" x14ac:dyDescent="0.2">
      <c r="A796" s="5" t="s">
        <v>258</v>
      </c>
      <c r="B796" s="5" t="s">
        <v>13</v>
      </c>
      <c r="C796" s="5"/>
      <c r="D796" s="2"/>
      <c r="E796" s="5"/>
      <c r="F796" s="5"/>
      <c r="G796" s="7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</row>
    <row r="797" spans="1:24" x14ac:dyDescent="0.2">
      <c r="A797" s="5" t="s">
        <v>259</v>
      </c>
      <c r="B797" s="5" t="s">
        <v>252</v>
      </c>
      <c r="C797" s="7">
        <f>58</f>
        <v>58</v>
      </c>
      <c r="D797" s="2">
        <f>43</f>
        <v>43</v>
      </c>
      <c r="E797" s="5">
        <v>39</v>
      </c>
      <c r="F797" s="5"/>
      <c r="G797" s="7">
        <v>15</v>
      </c>
      <c r="H797" s="7">
        <v>11</v>
      </c>
      <c r="I797" s="39">
        <v>12</v>
      </c>
      <c r="J797" s="39">
        <v>26</v>
      </c>
      <c r="K797" s="39">
        <v>233</v>
      </c>
      <c r="L797" s="39">
        <v>35</v>
      </c>
      <c r="M797" s="39">
        <v>65</v>
      </c>
      <c r="N797" s="39">
        <v>29</v>
      </c>
      <c r="O797" s="39">
        <v>12</v>
      </c>
      <c r="P797" s="39">
        <v>7</v>
      </c>
      <c r="Q797" s="39">
        <v>12</v>
      </c>
      <c r="R797" s="39">
        <v>16</v>
      </c>
      <c r="S797" s="39">
        <v>7</v>
      </c>
      <c r="T797" s="39">
        <v>6</v>
      </c>
      <c r="U797" s="39">
        <v>8</v>
      </c>
      <c r="V797" s="39">
        <v>6</v>
      </c>
      <c r="W797" s="39">
        <v>9</v>
      </c>
      <c r="X797" s="39">
        <v>4</v>
      </c>
    </row>
    <row r="798" spans="1:24" x14ac:dyDescent="0.2">
      <c r="A798" s="32" t="s">
        <v>260</v>
      </c>
      <c r="B798" s="5" t="s">
        <v>294</v>
      </c>
      <c r="C798" s="7"/>
      <c r="D798" s="2"/>
      <c r="E798" s="5"/>
      <c r="F798" s="5"/>
      <c r="G798" s="7"/>
      <c r="H798" s="7">
        <v>437</v>
      </c>
      <c r="I798" s="39">
        <v>277</v>
      </c>
      <c r="J798" s="39">
        <v>420</v>
      </c>
      <c r="K798" s="39">
        <v>271</v>
      </c>
      <c r="L798" s="39">
        <v>184</v>
      </c>
      <c r="M798" s="39">
        <v>176</v>
      </c>
      <c r="N798" s="39">
        <v>103</v>
      </c>
      <c r="O798" s="39">
        <v>96</v>
      </c>
      <c r="P798" s="39">
        <v>118</v>
      </c>
      <c r="Q798" s="39">
        <v>136</v>
      </c>
      <c r="R798" s="39">
        <v>93</v>
      </c>
      <c r="S798" s="39">
        <v>69</v>
      </c>
      <c r="T798" s="39">
        <v>102</v>
      </c>
      <c r="U798" s="39">
        <v>62</v>
      </c>
      <c r="V798" s="39">
        <v>299</v>
      </c>
      <c r="W798" s="39">
        <v>22</v>
      </c>
      <c r="X798" s="39">
        <v>44</v>
      </c>
    </row>
    <row r="799" spans="1:24" x14ac:dyDescent="0.2">
      <c r="A799" s="32" t="s">
        <v>261</v>
      </c>
      <c r="B799" s="5" t="s">
        <v>253</v>
      </c>
      <c r="C799" s="7">
        <f>180</f>
        <v>180</v>
      </c>
      <c r="D799" s="2">
        <f>417</f>
        <v>417</v>
      </c>
      <c r="E799" s="5">
        <v>312</v>
      </c>
      <c r="F799" s="5"/>
      <c r="G799" s="7">
        <v>390</v>
      </c>
      <c r="H799" s="7">
        <v>5</v>
      </c>
      <c r="I799" s="39">
        <v>0</v>
      </c>
      <c r="J799" s="39">
        <v>0</v>
      </c>
      <c r="K799" s="39">
        <v>0</v>
      </c>
      <c r="L799" s="39">
        <v>0</v>
      </c>
      <c r="M799" s="39">
        <v>0</v>
      </c>
      <c r="N799" s="39">
        <v>0</v>
      </c>
      <c r="O799" s="39">
        <v>0</v>
      </c>
      <c r="P799" s="39">
        <v>0</v>
      </c>
      <c r="Q799" s="39">
        <v>0</v>
      </c>
      <c r="R799" s="39">
        <v>0</v>
      </c>
      <c r="S799" s="39">
        <v>0</v>
      </c>
      <c r="T799" s="39">
        <v>0</v>
      </c>
      <c r="U799" s="39">
        <v>0</v>
      </c>
      <c r="V799" s="39">
        <v>0</v>
      </c>
      <c r="W799" s="39">
        <v>0</v>
      </c>
      <c r="X799" s="39">
        <v>0</v>
      </c>
    </row>
    <row r="800" spans="1:24" x14ac:dyDescent="0.2">
      <c r="A800" s="32" t="s">
        <v>295</v>
      </c>
      <c r="B800" s="5" t="s">
        <v>254</v>
      </c>
      <c r="C800" s="7" t="s">
        <v>98</v>
      </c>
      <c r="D800" s="35">
        <v>0</v>
      </c>
      <c r="E800" s="5">
        <v>0</v>
      </c>
      <c r="F800" s="5"/>
      <c r="G800" s="7">
        <v>0</v>
      </c>
      <c r="H800" s="7">
        <v>0</v>
      </c>
      <c r="I800" s="39">
        <v>0</v>
      </c>
      <c r="J800" s="39">
        <v>0</v>
      </c>
      <c r="K800" s="39">
        <v>0</v>
      </c>
      <c r="L800" s="39">
        <v>1</v>
      </c>
      <c r="M800" s="39">
        <v>0</v>
      </c>
      <c r="N800" s="39">
        <v>0</v>
      </c>
      <c r="O800" s="39">
        <v>0</v>
      </c>
      <c r="P800" s="39">
        <v>1</v>
      </c>
      <c r="Q800" s="39">
        <v>0</v>
      </c>
      <c r="R800" s="39">
        <v>1</v>
      </c>
      <c r="S800" s="39" t="s">
        <v>329</v>
      </c>
      <c r="T800" s="39" t="s">
        <v>329</v>
      </c>
      <c r="U800" s="39" t="s">
        <v>329</v>
      </c>
      <c r="V800" s="39" t="s">
        <v>329</v>
      </c>
      <c r="W800" s="39" t="s">
        <v>329</v>
      </c>
      <c r="X800" s="105" t="s">
        <v>329</v>
      </c>
    </row>
    <row r="801" spans="1:24" x14ac:dyDescent="0.2">
      <c r="A801" s="5"/>
      <c r="B801" s="5"/>
      <c r="C801" s="5"/>
      <c r="D801" s="2"/>
      <c r="E801" s="5"/>
      <c r="F801" s="5"/>
      <c r="G801" s="7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</row>
    <row r="802" spans="1:24" x14ac:dyDescent="0.2">
      <c r="A802" s="5" t="s">
        <v>262</v>
      </c>
      <c r="B802" s="5" t="s">
        <v>144</v>
      </c>
      <c r="C802" s="5"/>
      <c r="D802" s="2"/>
      <c r="E802" s="5"/>
      <c r="F802" s="5"/>
      <c r="G802" s="7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</row>
    <row r="803" spans="1:24" x14ac:dyDescent="0.2">
      <c r="A803" s="5"/>
      <c r="B803" s="5" t="s">
        <v>716</v>
      </c>
      <c r="C803" s="22">
        <f>15.8</f>
        <v>15.8</v>
      </c>
      <c r="D803" s="2">
        <f>8.8</f>
        <v>8.8000000000000007</v>
      </c>
      <c r="E803" s="5">
        <v>7.3</v>
      </c>
      <c r="F803" s="5"/>
      <c r="G803" s="24">
        <v>4.5</v>
      </c>
      <c r="H803" s="24">
        <v>4.4000000000000004</v>
      </c>
      <c r="I803" s="40">
        <v>6.2</v>
      </c>
      <c r="J803" s="40">
        <v>9.6999999999999993</v>
      </c>
      <c r="K803" s="40">
        <v>10.7</v>
      </c>
      <c r="L803" s="40">
        <v>9.6999999999999993</v>
      </c>
      <c r="M803" s="40">
        <v>14.9</v>
      </c>
      <c r="N803" s="40">
        <v>11</v>
      </c>
      <c r="O803" s="40">
        <v>9.1999999999999993</v>
      </c>
      <c r="P803" s="40">
        <v>7.6</v>
      </c>
      <c r="Q803" s="40">
        <v>7.8</v>
      </c>
      <c r="R803" s="40">
        <v>24.5</v>
      </c>
      <c r="S803" s="40">
        <v>18.7</v>
      </c>
      <c r="T803" s="40">
        <v>27.8</v>
      </c>
      <c r="U803" s="40">
        <v>28.1</v>
      </c>
      <c r="V803" s="52">
        <v>27.8</v>
      </c>
      <c r="W803" s="40">
        <v>58.6</v>
      </c>
      <c r="X803" s="40">
        <v>39.6</v>
      </c>
    </row>
    <row r="804" spans="1:24" x14ac:dyDescent="0.2">
      <c r="A804" s="5"/>
      <c r="B804" s="5"/>
      <c r="C804" s="5"/>
      <c r="D804" s="2"/>
      <c r="E804" s="5"/>
      <c r="F804" s="5"/>
      <c r="G804" s="7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</row>
    <row r="805" spans="1:24" x14ac:dyDescent="0.2">
      <c r="A805" s="6" t="s">
        <v>263</v>
      </c>
      <c r="B805" s="6" t="s">
        <v>264</v>
      </c>
      <c r="C805" s="5"/>
      <c r="D805" s="2"/>
      <c r="E805" s="5"/>
      <c r="F805" s="5"/>
      <c r="G805" s="7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</row>
    <row r="806" spans="1:24" x14ac:dyDescent="0.2">
      <c r="A806" s="6"/>
      <c r="B806" s="6" t="s">
        <v>594</v>
      </c>
      <c r="C806" s="5"/>
      <c r="D806" s="2"/>
      <c r="E806" s="5"/>
      <c r="F806" s="5"/>
      <c r="G806" s="7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</row>
    <row r="807" spans="1:24" x14ac:dyDescent="0.2">
      <c r="A807" s="5"/>
      <c r="B807" s="5"/>
      <c r="C807" s="5"/>
      <c r="D807" s="2"/>
      <c r="E807" s="5"/>
      <c r="F807" s="5"/>
      <c r="G807" s="7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</row>
    <row r="808" spans="1:24" x14ac:dyDescent="0.2">
      <c r="A808" s="5" t="s">
        <v>4</v>
      </c>
      <c r="B808" s="5" t="s">
        <v>251</v>
      </c>
      <c r="C808" s="5"/>
      <c r="D808" s="2"/>
      <c r="E808" s="5"/>
      <c r="F808" s="5"/>
      <c r="G808" s="7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</row>
    <row r="809" spans="1:24" x14ac:dyDescent="0.2">
      <c r="A809" s="5" t="s">
        <v>5</v>
      </c>
      <c r="B809" s="5" t="s">
        <v>61</v>
      </c>
      <c r="C809" s="7">
        <f>1101</f>
        <v>1101</v>
      </c>
      <c r="D809" s="2">
        <f>651</f>
        <v>651</v>
      </c>
      <c r="E809" s="5">
        <v>692</v>
      </c>
      <c r="F809" s="5"/>
      <c r="G809" s="7">
        <v>714</v>
      </c>
      <c r="H809" s="7">
        <v>694</v>
      </c>
      <c r="I809" s="39">
        <v>553</v>
      </c>
      <c r="J809" s="39">
        <v>497</v>
      </c>
      <c r="K809" s="39">
        <v>524</v>
      </c>
      <c r="L809" s="39">
        <v>426</v>
      </c>
      <c r="M809" s="39">
        <v>454</v>
      </c>
      <c r="N809" s="39">
        <v>495</v>
      </c>
      <c r="O809" s="39">
        <v>643</v>
      </c>
      <c r="P809" s="39">
        <v>573</v>
      </c>
      <c r="Q809" s="39">
        <v>403</v>
      </c>
      <c r="R809" s="39">
        <v>382</v>
      </c>
      <c r="S809" s="39">
        <v>300</v>
      </c>
      <c r="T809" s="39">
        <v>242</v>
      </c>
      <c r="U809" s="39">
        <v>279</v>
      </c>
      <c r="V809" s="39">
        <v>283</v>
      </c>
      <c r="W809" s="39">
        <v>243</v>
      </c>
      <c r="X809" s="39">
        <v>269</v>
      </c>
    </row>
    <row r="810" spans="1:24" x14ac:dyDescent="0.2">
      <c r="A810" s="5" t="s">
        <v>8</v>
      </c>
      <c r="B810" s="5" t="s">
        <v>9</v>
      </c>
      <c r="C810" s="7">
        <f>1025</f>
        <v>1025</v>
      </c>
      <c r="D810" s="2">
        <f>662</f>
        <v>662</v>
      </c>
      <c r="E810" s="5">
        <v>663</v>
      </c>
      <c r="F810" s="5"/>
      <c r="G810" s="7">
        <v>662</v>
      </c>
      <c r="H810" s="7">
        <v>677</v>
      </c>
      <c r="I810" s="39">
        <v>614</v>
      </c>
      <c r="J810" s="39">
        <v>506</v>
      </c>
      <c r="K810" s="39">
        <v>543</v>
      </c>
      <c r="L810" s="39">
        <v>459</v>
      </c>
      <c r="M810" s="39">
        <v>470</v>
      </c>
      <c r="N810" s="39">
        <v>459</v>
      </c>
      <c r="O810" s="39">
        <v>588</v>
      </c>
      <c r="P810" s="39">
        <v>593</v>
      </c>
      <c r="Q810" s="39">
        <v>449</v>
      </c>
      <c r="R810" s="39">
        <v>371</v>
      </c>
      <c r="S810" s="39">
        <v>368</v>
      </c>
      <c r="T810" s="39">
        <v>266</v>
      </c>
      <c r="U810" s="39">
        <v>282</v>
      </c>
      <c r="V810" s="39">
        <v>265</v>
      </c>
      <c r="W810" s="39">
        <v>270</v>
      </c>
      <c r="X810" s="39">
        <v>272</v>
      </c>
    </row>
    <row r="811" spans="1:24" x14ac:dyDescent="0.2">
      <c r="A811" s="5" t="s">
        <v>10</v>
      </c>
      <c r="B811" s="5" t="s">
        <v>64</v>
      </c>
      <c r="C811" s="7">
        <f>162</f>
        <v>162</v>
      </c>
      <c r="D811" s="2">
        <f>121</f>
        <v>121</v>
      </c>
      <c r="E811" s="5">
        <v>151</v>
      </c>
      <c r="F811" s="5"/>
      <c r="G811" s="7">
        <v>206</v>
      </c>
      <c r="H811" s="7">
        <v>220</v>
      </c>
      <c r="I811" s="39">
        <v>160</v>
      </c>
      <c r="J811" s="39">
        <v>157</v>
      </c>
      <c r="K811" s="39">
        <v>140</v>
      </c>
      <c r="L811" s="39">
        <v>111</v>
      </c>
      <c r="M811" s="39">
        <v>94</v>
      </c>
      <c r="N811" s="39">
        <v>138</v>
      </c>
      <c r="O811" s="39">
        <v>200</v>
      </c>
      <c r="P811" s="39">
        <v>183</v>
      </c>
      <c r="Q811" s="39">
        <v>139</v>
      </c>
      <c r="R811" s="39">
        <v>147</v>
      </c>
      <c r="S811" s="39">
        <v>85</v>
      </c>
      <c r="T811" s="39">
        <v>61</v>
      </c>
      <c r="U811" s="39">
        <v>50</v>
      </c>
      <c r="V811" s="39">
        <v>68</v>
      </c>
      <c r="W811" s="39">
        <v>41</v>
      </c>
      <c r="X811" s="39">
        <v>38</v>
      </c>
    </row>
    <row r="812" spans="1:24" x14ac:dyDescent="0.2">
      <c r="A812" s="5"/>
      <c r="B812" s="92"/>
      <c r="C812" s="7"/>
      <c r="D812" s="2"/>
      <c r="E812" s="5"/>
      <c r="F812" s="5"/>
      <c r="G812" s="7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</row>
    <row r="813" spans="1:24" hidden="1" outlineLevel="1" x14ac:dyDescent="0.2">
      <c r="A813" s="5"/>
      <c r="B813" s="92"/>
      <c r="C813" s="7"/>
      <c r="D813" s="63">
        <f>1993</f>
        <v>1993</v>
      </c>
      <c r="E813" s="63">
        <f>1994</f>
        <v>1994</v>
      </c>
      <c r="F813" s="63"/>
      <c r="G813" s="64">
        <v>1995</v>
      </c>
      <c r="H813" s="64">
        <v>1996</v>
      </c>
      <c r="I813" s="38">
        <v>1997</v>
      </c>
      <c r="J813" s="38">
        <v>1998</v>
      </c>
      <c r="K813" s="38">
        <v>1999</v>
      </c>
      <c r="L813" s="38">
        <v>2000</v>
      </c>
      <c r="M813" s="38">
        <v>2001</v>
      </c>
      <c r="N813" s="38">
        <v>2002</v>
      </c>
      <c r="O813" s="38">
        <v>2003</v>
      </c>
      <c r="P813" s="38">
        <v>2004</v>
      </c>
      <c r="Q813" s="38">
        <v>2005</v>
      </c>
      <c r="R813" s="38">
        <v>2006</v>
      </c>
      <c r="S813" s="38">
        <v>2007</v>
      </c>
      <c r="T813" s="38">
        <v>2008</v>
      </c>
      <c r="U813" s="38">
        <v>2009</v>
      </c>
      <c r="V813" s="38"/>
      <c r="W813" s="38"/>
      <c r="X813" s="48"/>
    </row>
    <row r="814" spans="1:24" collapsed="1" x14ac:dyDescent="0.2">
      <c r="A814" s="5" t="s">
        <v>12</v>
      </c>
      <c r="B814" s="5" t="s">
        <v>56</v>
      </c>
      <c r="C814" s="5"/>
      <c r="D814" s="2"/>
      <c r="E814" s="5"/>
      <c r="F814" s="5"/>
      <c r="G814" s="7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</row>
    <row r="815" spans="1:24" x14ac:dyDescent="0.2">
      <c r="A815" s="5"/>
      <c r="B815" s="5" t="s">
        <v>57</v>
      </c>
      <c r="C815" s="5"/>
      <c r="D815" s="2"/>
      <c r="E815" s="5"/>
      <c r="F815" s="5"/>
      <c r="G815" s="7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</row>
    <row r="816" spans="1:24" x14ac:dyDescent="0.2">
      <c r="A816" s="5"/>
      <c r="B816" s="5" t="s">
        <v>686</v>
      </c>
      <c r="C816" s="22">
        <f>1.3</f>
        <v>1.3</v>
      </c>
      <c r="D816" s="23">
        <f>1.8</f>
        <v>1.8</v>
      </c>
      <c r="E816" s="5">
        <v>2.1</v>
      </c>
      <c r="F816" s="5"/>
      <c r="G816" s="24">
        <v>2.5</v>
      </c>
      <c r="H816" s="24">
        <v>2.7</v>
      </c>
      <c r="I816" s="40">
        <v>5.6</v>
      </c>
      <c r="J816" s="40">
        <v>8.6999999999999993</v>
      </c>
      <c r="K816" s="40">
        <v>4.3</v>
      </c>
      <c r="L816" s="40">
        <v>3.4</v>
      </c>
      <c r="M816" s="40">
        <v>3.2</v>
      </c>
      <c r="N816" s="40">
        <v>1.5</v>
      </c>
      <c r="O816" s="40">
        <v>2.2999999999999998</v>
      </c>
      <c r="P816" s="40">
        <v>2.9</v>
      </c>
      <c r="Q816" s="40">
        <v>3.5</v>
      </c>
      <c r="R816" s="40">
        <v>5.3</v>
      </c>
      <c r="S816" s="40">
        <v>4.2</v>
      </c>
      <c r="T816" s="40">
        <v>3.9</v>
      </c>
      <c r="U816" s="40">
        <v>2.5</v>
      </c>
      <c r="V816" s="40">
        <v>2.2999999999999998</v>
      </c>
      <c r="W816" s="40">
        <v>2.4</v>
      </c>
      <c r="X816" s="40">
        <v>2</v>
      </c>
    </row>
    <row r="817" spans="1:24" x14ac:dyDescent="0.2">
      <c r="A817" s="5"/>
      <c r="B817" s="5" t="s">
        <v>266</v>
      </c>
      <c r="C817" s="22">
        <f>3.4</f>
        <v>3.4</v>
      </c>
      <c r="D817" s="23">
        <f>6.2</f>
        <v>6.2</v>
      </c>
      <c r="E817" s="5">
        <v>0.8</v>
      </c>
      <c r="F817" s="5"/>
      <c r="G817" s="24">
        <v>2.1</v>
      </c>
      <c r="H817" s="24">
        <v>3.7</v>
      </c>
      <c r="I817" s="40">
        <v>2.1</v>
      </c>
      <c r="J817" s="40">
        <v>7.6</v>
      </c>
      <c r="K817" s="40">
        <v>8.6999999999999993</v>
      </c>
      <c r="L817" s="40">
        <v>5.2</v>
      </c>
      <c r="M817" s="40">
        <v>2.8</v>
      </c>
      <c r="N817" s="40">
        <v>6</v>
      </c>
      <c r="O817" s="40">
        <v>14.3</v>
      </c>
      <c r="P817" s="40">
        <v>0</v>
      </c>
      <c r="Q817" s="40">
        <v>47</v>
      </c>
      <c r="R817" s="40">
        <v>0</v>
      </c>
      <c r="S817" s="40">
        <v>0</v>
      </c>
      <c r="T817" s="40">
        <v>11.2</v>
      </c>
      <c r="U817" s="40">
        <v>0</v>
      </c>
      <c r="V817" s="40">
        <v>0</v>
      </c>
      <c r="W817" s="40">
        <v>0</v>
      </c>
      <c r="X817" s="40">
        <v>0</v>
      </c>
    </row>
    <row r="818" spans="1:24" x14ac:dyDescent="0.2">
      <c r="A818" s="5"/>
      <c r="B818" s="5"/>
      <c r="C818" s="22"/>
      <c r="D818" s="23"/>
      <c r="E818" s="5"/>
      <c r="F818" s="5"/>
      <c r="G818" s="24"/>
      <c r="H818" s="24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</row>
    <row r="819" spans="1:24" x14ac:dyDescent="0.2">
      <c r="A819" s="5"/>
      <c r="B819" s="5"/>
      <c r="C819" s="5"/>
      <c r="D819" s="2"/>
      <c r="E819" s="5"/>
      <c r="F819" s="5"/>
      <c r="G819" s="7"/>
      <c r="I819" s="39"/>
      <c r="J819" s="39"/>
      <c r="K819" s="39"/>
      <c r="L819" s="39"/>
      <c r="M819" s="39"/>
      <c r="N819" s="39"/>
      <c r="O819" s="39"/>
      <c r="P819" s="39"/>
      <c r="Q819" s="39"/>
      <c r="R819" s="38">
        <v>2006</v>
      </c>
      <c r="S819" s="38">
        <v>2007</v>
      </c>
      <c r="T819" s="38">
        <v>2008</v>
      </c>
      <c r="U819" s="38">
        <v>2009</v>
      </c>
      <c r="V819" s="38">
        <v>2010</v>
      </c>
      <c r="W819" s="38">
        <v>2011</v>
      </c>
      <c r="X819" s="38">
        <v>2012</v>
      </c>
    </row>
    <row r="820" spans="1:24" x14ac:dyDescent="0.2">
      <c r="A820" s="5" t="s">
        <v>59</v>
      </c>
      <c r="B820" s="5" t="s">
        <v>237</v>
      </c>
      <c r="C820" s="5"/>
      <c r="D820" s="2"/>
      <c r="E820" s="5"/>
      <c r="F820" s="5"/>
      <c r="G820" s="7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</row>
    <row r="821" spans="1:24" x14ac:dyDescent="0.2">
      <c r="A821" s="5" t="s">
        <v>60</v>
      </c>
      <c r="B821" s="5" t="s">
        <v>61</v>
      </c>
      <c r="C821" s="7">
        <f>591</f>
        <v>591</v>
      </c>
      <c r="D821" s="2">
        <f>643</f>
        <v>643</v>
      </c>
      <c r="E821" s="5">
        <v>689</v>
      </c>
      <c r="F821" s="5"/>
      <c r="G821" s="7">
        <v>711</v>
      </c>
      <c r="H821" s="7">
        <v>692</v>
      </c>
      <c r="I821" s="39">
        <v>551</v>
      </c>
      <c r="J821" s="39">
        <v>492</v>
      </c>
      <c r="K821" s="39">
        <v>519</v>
      </c>
      <c r="L821" s="39">
        <v>403</v>
      </c>
      <c r="M821" s="39">
        <v>447</v>
      </c>
      <c r="N821" s="39">
        <v>491</v>
      </c>
      <c r="O821" s="39">
        <v>639</v>
      </c>
      <c r="P821" s="39">
        <v>568</v>
      </c>
      <c r="Q821" s="39">
        <v>403</v>
      </c>
      <c r="R821" s="39">
        <v>378</v>
      </c>
      <c r="S821" s="39">
        <v>299</v>
      </c>
      <c r="T821" s="39">
        <v>238</v>
      </c>
      <c r="U821" s="39">
        <v>279</v>
      </c>
      <c r="V821" s="39">
        <v>283</v>
      </c>
      <c r="W821" s="39">
        <v>241</v>
      </c>
      <c r="X821" s="39">
        <v>269</v>
      </c>
    </row>
    <row r="822" spans="1:24" x14ac:dyDescent="0.2">
      <c r="A822" s="5" t="s">
        <v>62</v>
      </c>
      <c r="B822" s="5" t="s">
        <v>9</v>
      </c>
      <c r="C822" s="7">
        <f>522</f>
        <v>522</v>
      </c>
      <c r="D822" s="2">
        <f>653</f>
        <v>653</v>
      </c>
      <c r="E822" s="5">
        <v>658</v>
      </c>
      <c r="F822" s="5"/>
      <c r="G822" s="7">
        <v>659</v>
      </c>
      <c r="H822" s="7">
        <v>673</v>
      </c>
      <c r="I822" s="39">
        <v>613</v>
      </c>
      <c r="J822" s="39">
        <v>503</v>
      </c>
      <c r="K822" s="39">
        <v>537</v>
      </c>
      <c r="L822" s="39">
        <v>441</v>
      </c>
      <c r="M822" s="39">
        <v>455</v>
      </c>
      <c r="N822" s="39">
        <v>455</v>
      </c>
      <c r="O822" s="39">
        <v>583</v>
      </c>
      <c r="P822" s="39">
        <v>589</v>
      </c>
      <c r="Q822" s="39">
        <v>448</v>
      </c>
      <c r="R822" s="39">
        <v>367</v>
      </c>
      <c r="S822" s="39">
        <v>365</v>
      </c>
      <c r="T822" s="39">
        <v>262</v>
      </c>
      <c r="U822" s="39">
        <v>282</v>
      </c>
      <c r="V822" s="39">
        <v>265</v>
      </c>
      <c r="W822" s="39">
        <v>268</v>
      </c>
      <c r="X822" s="39">
        <v>272</v>
      </c>
    </row>
    <row r="823" spans="1:24" x14ac:dyDescent="0.2">
      <c r="A823" s="5" t="s">
        <v>63</v>
      </c>
      <c r="B823" s="5" t="s">
        <v>64</v>
      </c>
      <c r="C823" s="7">
        <f>122</f>
        <v>122</v>
      </c>
      <c r="D823" s="2">
        <f>120</f>
        <v>120</v>
      </c>
      <c r="E823" s="5">
        <v>150</v>
      </c>
      <c r="F823" s="5"/>
      <c r="G823" s="7">
        <v>205</v>
      </c>
      <c r="H823" s="7">
        <v>219</v>
      </c>
      <c r="I823" s="39">
        <v>158</v>
      </c>
      <c r="J823" s="39">
        <v>153</v>
      </c>
      <c r="K823" s="39">
        <v>136</v>
      </c>
      <c r="L823" s="39">
        <v>102</v>
      </c>
      <c r="M823" s="39">
        <v>94</v>
      </c>
      <c r="N823" s="39">
        <v>138</v>
      </c>
      <c r="O823" s="39">
        <v>200</v>
      </c>
      <c r="P823" s="39">
        <v>182</v>
      </c>
      <c r="Q823" s="39">
        <v>139</v>
      </c>
      <c r="R823" s="39">
        <v>147</v>
      </c>
      <c r="S823" s="39">
        <v>81</v>
      </c>
      <c r="T823" s="39">
        <v>61</v>
      </c>
      <c r="U823" s="39">
        <v>50</v>
      </c>
      <c r="V823" s="39">
        <v>68</v>
      </c>
      <c r="W823" s="39">
        <v>41</v>
      </c>
      <c r="X823" s="39">
        <v>38</v>
      </c>
    </row>
    <row r="824" spans="1:24" ht="11.25" customHeight="1" x14ac:dyDescent="0.2">
      <c r="A824" s="5"/>
      <c r="B824" s="5"/>
      <c r="C824" s="5"/>
      <c r="D824" s="2"/>
      <c r="E824" s="5"/>
      <c r="F824" s="5"/>
      <c r="G824" s="7"/>
      <c r="V824" s="7"/>
      <c r="W824" s="7"/>
      <c r="X824" s="7"/>
    </row>
    <row r="825" spans="1:24" x14ac:dyDescent="0.2">
      <c r="A825" s="5" t="s">
        <v>65</v>
      </c>
      <c r="B825" s="5" t="s">
        <v>56</v>
      </c>
      <c r="C825" s="5"/>
      <c r="D825" s="2"/>
      <c r="E825" s="5"/>
      <c r="F825" s="5"/>
      <c r="G825" s="7"/>
      <c r="I825" s="48"/>
      <c r="J825" s="48"/>
      <c r="K825" s="48"/>
      <c r="L825" s="48"/>
      <c r="M825" s="48"/>
      <c r="N825" s="48"/>
      <c r="O825" s="48"/>
      <c r="P825" s="21"/>
      <c r="Q825" s="21"/>
      <c r="R825" s="21"/>
      <c r="S825" s="21"/>
      <c r="T825" s="21"/>
      <c r="U825" s="21"/>
    </row>
    <row r="826" spans="1:24" x14ac:dyDescent="0.2">
      <c r="A826" s="5"/>
      <c r="B826" s="5" t="s">
        <v>57</v>
      </c>
      <c r="C826" s="5"/>
      <c r="D826" s="2"/>
      <c r="E826" s="5"/>
      <c r="F826" s="5"/>
      <c r="G826" s="7"/>
      <c r="V826" s="7"/>
      <c r="W826" s="7"/>
      <c r="X826" s="7"/>
    </row>
    <row r="827" spans="1:24" x14ac:dyDescent="0.2">
      <c r="A827" s="5"/>
      <c r="B827" s="5" t="s">
        <v>686</v>
      </c>
      <c r="C827" s="22">
        <f>1.9</f>
        <v>1.9</v>
      </c>
      <c r="D827" s="2">
        <f>1.8</f>
        <v>1.8</v>
      </c>
      <c r="E827" s="5">
        <v>2.1</v>
      </c>
      <c r="F827" s="5"/>
      <c r="G827" s="24">
        <v>2.5</v>
      </c>
      <c r="H827" s="24">
        <v>2.7</v>
      </c>
      <c r="I827" s="40">
        <v>5.6</v>
      </c>
      <c r="J827" s="40">
        <v>8.6999999999999993</v>
      </c>
      <c r="K827" s="40">
        <v>4.4000000000000004</v>
      </c>
      <c r="L827" s="40">
        <v>3.5</v>
      </c>
      <c r="M827" s="40">
        <v>3.2</v>
      </c>
      <c r="N827" s="40">
        <v>1.5</v>
      </c>
      <c r="O827" s="40">
        <v>2.2999999999999998</v>
      </c>
      <c r="P827" s="40">
        <v>2.9</v>
      </c>
      <c r="Q827" s="40">
        <v>3.5</v>
      </c>
      <c r="R827" s="40">
        <v>5.2</v>
      </c>
      <c r="S827" s="40">
        <v>4.2</v>
      </c>
      <c r="T827" s="40">
        <v>3.9</v>
      </c>
      <c r="U827" s="40">
        <v>2.5</v>
      </c>
      <c r="V827" s="40">
        <v>2.2999999999999998</v>
      </c>
      <c r="W827" s="40">
        <v>2.4</v>
      </c>
      <c r="X827" s="40">
        <v>4.2</v>
      </c>
    </row>
    <row r="828" spans="1:24" x14ac:dyDescent="0.2">
      <c r="A828" s="5"/>
      <c r="B828" s="5" t="s">
        <v>266</v>
      </c>
      <c r="C828" s="22">
        <f>3.4</f>
        <v>3.4</v>
      </c>
      <c r="D828" s="2">
        <f>6.2</f>
        <v>6.2</v>
      </c>
      <c r="E828" s="5">
        <v>0.7</v>
      </c>
      <c r="F828" s="5"/>
      <c r="G828" s="24">
        <v>2.1</v>
      </c>
      <c r="H828" s="24">
        <v>4.5</v>
      </c>
      <c r="I828" s="40">
        <v>2.1</v>
      </c>
      <c r="J828" s="40">
        <v>3.5</v>
      </c>
      <c r="K828" s="40">
        <v>6.2</v>
      </c>
      <c r="L828" s="40">
        <v>5.2</v>
      </c>
      <c r="M828" s="40">
        <v>2.8</v>
      </c>
      <c r="N828" s="40">
        <v>6</v>
      </c>
      <c r="O828" s="40">
        <v>14.3</v>
      </c>
      <c r="P828" s="40">
        <v>0</v>
      </c>
      <c r="Q828" s="40">
        <v>47</v>
      </c>
      <c r="R828" s="40">
        <v>0</v>
      </c>
      <c r="S828" s="40">
        <v>0</v>
      </c>
      <c r="T828" s="40">
        <v>11.2</v>
      </c>
      <c r="U828" s="40">
        <v>0</v>
      </c>
      <c r="V828" s="40">
        <v>0</v>
      </c>
      <c r="W828" s="40">
        <v>0</v>
      </c>
      <c r="X828" s="40">
        <v>0</v>
      </c>
    </row>
    <row r="829" spans="1:24" x14ac:dyDescent="0.2">
      <c r="A829" s="5"/>
      <c r="B829" s="5"/>
      <c r="C829" s="5"/>
      <c r="D829" s="2"/>
      <c r="E829" s="5"/>
      <c r="F829" s="5"/>
      <c r="G829" s="7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</row>
    <row r="830" spans="1:24" x14ac:dyDescent="0.2">
      <c r="A830" s="5" t="s">
        <v>80</v>
      </c>
      <c r="B830" s="5" t="s">
        <v>267</v>
      </c>
      <c r="C830" s="5"/>
      <c r="D830" s="2"/>
      <c r="E830" s="5"/>
      <c r="F830" s="5"/>
      <c r="G830" s="7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</row>
    <row r="831" spans="1:24" x14ac:dyDescent="0.2">
      <c r="A831" s="5" t="s">
        <v>255</v>
      </c>
      <c r="B831" s="5" t="s">
        <v>61</v>
      </c>
      <c r="C831" s="7">
        <f>510</f>
        <v>510</v>
      </c>
      <c r="D831" s="2">
        <f>8</f>
        <v>8</v>
      </c>
      <c r="E831" s="5">
        <v>3</v>
      </c>
      <c r="F831" s="5"/>
      <c r="G831" s="7">
        <v>3</v>
      </c>
      <c r="H831" s="7">
        <v>2</v>
      </c>
      <c r="I831" s="39">
        <v>2</v>
      </c>
      <c r="J831" s="39">
        <v>0</v>
      </c>
      <c r="K831" s="39">
        <v>5</v>
      </c>
      <c r="L831" s="39">
        <v>16</v>
      </c>
      <c r="M831" s="39">
        <v>5</v>
      </c>
      <c r="N831" s="39">
        <v>2</v>
      </c>
      <c r="O831" s="39">
        <v>4</v>
      </c>
      <c r="P831" s="39">
        <v>5</v>
      </c>
      <c r="Q831" s="39">
        <v>0</v>
      </c>
      <c r="R831" s="39">
        <v>4</v>
      </c>
      <c r="S831" s="39">
        <v>0</v>
      </c>
      <c r="T831" s="39">
        <v>4</v>
      </c>
      <c r="U831" s="39">
        <v>0</v>
      </c>
      <c r="V831" s="39">
        <v>0</v>
      </c>
      <c r="W831" s="39">
        <v>2</v>
      </c>
      <c r="X831" s="39">
        <v>0</v>
      </c>
    </row>
    <row r="832" spans="1:24" x14ac:dyDescent="0.2">
      <c r="A832" s="5" t="s">
        <v>256</v>
      </c>
      <c r="B832" s="5" t="s">
        <v>9</v>
      </c>
      <c r="C832" s="7">
        <f>503</f>
        <v>503</v>
      </c>
      <c r="D832" s="2">
        <f>9</f>
        <v>9</v>
      </c>
      <c r="E832" s="5">
        <v>5</v>
      </c>
      <c r="F832" s="5"/>
      <c r="G832" s="7">
        <v>3</v>
      </c>
      <c r="H832" s="7">
        <v>2</v>
      </c>
      <c r="I832" s="39">
        <v>1</v>
      </c>
      <c r="J832" s="39">
        <v>2</v>
      </c>
      <c r="K832" s="39">
        <v>1</v>
      </c>
      <c r="L832" s="39">
        <v>11</v>
      </c>
      <c r="M832" s="39">
        <v>14</v>
      </c>
      <c r="N832" s="39">
        <v>2</v>
      </c>
      <c r="O832" s="39">
        <v>4</v>
      </c>
      <c r="P832" s="39">
        <v>4</v>
      </c>
      <c r="Q832" s="39">
        <v>1</v>
      </c>
      <c r="R832" s="39">
        <v>4</v>
      </c>
      <c r="S832" s="39">
        <v>0</v>
      </c>
      <c r="T832" s="39">
        <v>4</v>
      </c>
      <c r="U832" s="39">
        <v>0</v>
      </c>
      <c r="V832" s="39">
        <v>0</v>
      </c>
      <c r="W832" s="39">
        <v>2</v>
      </c>
      <c r="X832" s="39">
        <v>0</v>
      </c>
    </row>
    <row r="833" spans="1:24" x14ac:dyDescent="0.2">
      <c r="A833" s="5" t="s">
        <v>257</v>
      </c>
      <c r="B833" s="5" t="s">
        <v>64</v>
      </c>
      <c r="C833" s="7">
        <f>40</f>
        <v>40</v>
      </c>
      <c r="D833" s="2">
        <f>1</f>
        <v>1</v>
      </c>
      <c r="E833" s="5">
        <v>1</v>
      </c>
      <c r="F833" s="5"/>
      <c r="G833" s="7">
        <v>1</v>
      </c>
      <c r="H833" s="7">
        <v>1</v>
      </c>
      <c r="I833" s="39">
        <v>2</v>
      </c>
      <c r="J833" s="39">
        <v>0</v>
      </c>
      <c r="K833" s="39">
        <v>4</v>
      </c>
      <c r="L833" s="39">
        <v>9</v>
      </c>
      <c r="M833" s="39">
        <v>0</v>
      </c>
      <c r="N833" s="39">
        <v>0</v>
      </c>
      <c r="O833" s="39">
        <v>0</v>
      </c>
      <c r="P833" s="39">
        <v>1</v>
      </c>
      <c r="Q833" s="39">
        <v>0</v>
      </c>
      <c r="R833" s="39">
        <v>0</v>
      </c>
      <c r="S833" s="39">
        <v>0</v>
      </c>
      <c r="T833" s="39">
        <v>0</v>
      </c>
      <c r="U833" s="39">
        <v>0</v>
      </c>
      <c r="V833" s="39">
        <v>0</v>
      </c>
      <c r="W833" s="39">
        <v>0</v>
      </c>
      <c r="X833" s="39">
        <v>0</v>
      </c>
    </row>
    <row r="834" spans="1:24" x14ac:dyDescent="0.2">
      <c r="A834" s="5"/>
      <c r="B834" s="5"/>
      <c r="C834" s="5"/>
      <c r="D834" s="2"/>
      <c r="E834" s="5"/>
      <c r="F834" s="5"/>
      <c r="G834" s="7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</row>
    <row r="835" spans="1:24" x14ac:dyDescent="0.2">
      <c r="A835" s="5" t="s">
        <v>258</v>
      </c>
      <c r="B835" s="5" t="s">
        <v>56</v>
      </c>
      <c r="C835" s="5"/>
      <c r="D835" s="2"/>
      <c r="E835" s="5"/>
      <c r="F835" s="5"/>
      <c r="G835" s="7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</row>
    <row r="836" spans="1:24" x14ac:dyDescent="0.2">
      <c r="A836" s="5"/>
      <c r="B836" s="5" t="s">
        <v>57</v>
      </c>
      <c r="C836" s="5"/>
      <c r="D836" s="2"/>
      <c r="E836" s="5"/>
      <c r="F836" s="5"/>
      <c r="G836" s="7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</row>
    <row r="837" spans="1:24" x14ac:dyDescent="0.2">
      <c r="A837" s="5"/>
      <c r="B837" s="5" t="s">
        <v>265</v>
      </c>
      <c r="C837" s="22">
        <f>0.7</f>
        <v>0.7</v>
      </c>
      <c r="D837" s="2">
        <f>1.2</f>
        <v>1.2</v>
      </c>
      <c r="E837" s="5">
        <v>5.0999999999999996</v>
      </c>
      <c r="F837" s="5"/>
      <c r="G837" s="24">
        <v>0.7</v>
      </c>
      <c r="H837" s="24">
        <v>1</v>
      </c>
      <c r="I837" s="40">
        <v>0</v>
      </c>
      <c r="J837" s="40">
        <v>0</v>
      </c>
      <c r="K837" s="40">
        <v>0</v>
      </c>
      <c r="L837" s="40">
        <v>0</v>
      </c>
      <c r="M837" s="40">
        <v>0</v>
      </c>
      <c r="N837" s="40">
        <v>0</v>
      </c>
      <c r="O837" s="40">
        <v>0</v>
      </c>
      <c r="P837" s="40">
        <v>0</v>
      </c>
      <c r="Q837" s="40">
        <v>0</v>
      </c>
      <c r="R837" s="40">
        <v>39</v>
      </c>
      <c r="S837" s="40">
        <v>0</v>
      </c>
      <c r="T837" s="40">
        <v>0.5</v>
      </c>
      <c r="U837" s="40">
        <v>0</v>
      </c>
      <c r="V837" s="40">
        <v>0</v>
      </c>
      <c r="W837" s="40">
        <v>0.1</v>
      </c>
      <c r="X837" s="40">
        <v>0</v>
      </c>
    </row>
    <row r="838" spans="1:24" x14ac:dyDescent="0.2">
      <c r="A838" s="5"/>
      <c r="B838" s="5" t="s">
        <v>266</v>
      </c>
      <c r="C838" s="22" t="s">
        <v>98</v>
      </c>
      <c r="D838" s="33">
        <v>0</v>
      </c>
      <c r="E838" s="5">
        <v>0.9</v>
      </c>
      <c r="F838" s="5"/>
      <c r="G838" s="24">
        <v>1.4</v>
      </c>
      <c r="H838" s="24">
        <v>0.1</v>
      </c>
      <c r="I838" s="40">
        <v>0</v>
      </c>
      <c r="J838" s="40">
        <v>43.6</v>
      </c>
      <c r="K838" s="40">
        <v>0</v>
      </c>
      <c r="L838" s="40">
        <v>0</v>
      </c>
      <c r="M838" s="40">
        <v>0</v>
      </c>
      <c r="N838" s="40">
        <v>0</v>
      </c>
      <c r="O838" s="40">
        <v>0</v>
      </c>
      <c r="P838" s="40">
        <v>0</v>
      </c>
      <c r="Q838" s="40">
        <v>0</v>
      </c>
      <c r="R838" s="40">
        <v>0</v>
      </c>
      <c r="S838" s="40">
        <v>0</v>
      </c>
      <c r="T838" s="40">
        <v>0</v>
      </c>
      <c r="U838" s="40">
        <v>0</v>
      </c>
      <c r="V838" s="40">
        <v>0</v>
      </c>
      <c r="W838" s="40">
        <v>0</v>
      </c>
      <c r="X838" s="40">
        <v>0</v>
      </c>
    </row>
    <row r="839" spans="1:24" x14ac:dyDescent="0.2">
      <c r="A839" s="5"/>
      <c r="B839" s="5"/>
      <c r="C839" s="5"/>
      <c r="D839" s="2"/>
      <c r="E839" s="5"/>
      <c r="F839" s="5"/>
      <c r="G839" s="7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</row>
    <row r="840" spans="1:24" x14ac:dyDescent="0.2">
      <c r="A840" s="6" t="s">
        <v>268</v>
      </c>
      <c r="B840" s="6" t="s">
        <v>269</v>
      </c>
      <c r="C840" s="5"/>
      <c r="D840" s="2"/>
      <c r="E840" s="5"/>
      <c r="F840" s="5"/>
      <c r="G840" s="7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</row>
    <row r="841" spans="1:24" x14ac:dyDescent="0.2">
      <c r="A841" s="5" t="s">
        <v>4</v>
      </c>
      <c r="B841" s="5" t="s">
        <v>330</v>
      </c>
      <c r="C841" s="5">
        <f>219</f>
        <v>219</v>
      </c>
      <c r="D841" s="2">
        <f>357</f>
        <v>357</v>
      </c>
      <c r="E841" s="5">
        <v>269</v>
      </c>
      <c r="F841" s="5"/>
      <c r="G841" s="7">
        <v>69</v>
      </c>
      <c r="H841" s="7">
        <v>81</v>
      </c>
      <c r="I841" s="39">
        <v>128</v>
      </c>
      <c r="J841" s="39">
        <v>360</v>
      </c>
      <c r="K841" s="39">
        <v>341</v>
      </c>
      <c r="L841" s="39">
        <v>257</v>
      </c>
      <c r="M841" s="39">
        <v>171</v>
      </c>
      <c r="N841" s="39">
        <v>147</v>
      </c>
      <c r="O841" s="39">
        <v>110</v>
      </c>
      <c r="P841" s="39">
        <v>364</v>
      </c>
      <c r="Q841" s="39">
        <v>181</v>
      </c>
      <c r="R841" s="39">
        <v>71</v>
      </c>
      <c r="S841" s="39">
        <v>224</v>
      </c>
      <c r="T841" s="39">
        <v>258</v>
      </c>
      <c r="U841" s="39">
        <v>136</v>
      </c>
      <c r="V841" s="39">
        <v>133</v>
      </c>
      <c r="W841" s="39">
        <v>233</v>
      </c>
      <c r="X841" s="39">
        <v>236</v>
      </c>
    </row>
    <row r="842" spans="1:24" x14ac:dyDescent="0.2">
      <c r="A842" s="5" t="s">
        <v>59</v>
      </c>
      <c r="B842" s="5" t="s">
        <v>689</v>
      </c>
      <c r="C842" s="5">
        <f>167</f>
        <v>167</v>
      </c>
      <c r="D842" s="2">
        <f>125</f>
        <v>125</v>
      </c>
      <c r="E842" s="5">
        <v>116</v>
      </c>
      <c r="F842" s="5"/>
      <c r="G842" s="7">
        <v>140</v>
      </c>
      <c r="H842" s="7">
        <v>175</v>
      </c>
      <c r="I842" s="39">
        <v>99</v>
      </c>
      <c r="J842" s="39">
        <v>101</v>
      </c>
      <c r="K842" s="39">
        <v>86</v>
      </c>
      <c r="L842" s="39">
        <v>129</v>
      </c>
      <c r="M842" s="39">
        <v>70</v>
      </c>
      <c r="N842" s="39">
        <v>373</v>
      </c>
      <c r="O842" s="39">
        <v>141</v>
      </c>
      <c r="P842" s="39">
        <v>131</v>
      </c>
      <c r="Q842" s="39">
        <v>171</v>
      </c>
      <c r="R842" s="39">
        <v>200</v>
      </c>
      <c r="S842" s="39">
        <v>180</v>
      </c>
      <c r="T842" s="39">
        <v>225</v>
      </c>
      <c r="U842" s="39">
        <v>213</v>
      </c>
      <c r="V842" s="39">
        <v>190</v>
      </c>
      <c r="W842" s="39">
        <v>152</v>
      </c>
      <c r="X842" s="39">
        <v>135</v>
      </c>
    </row>
    <row r="843" spans="1:24" x14ac:dyDescent="0.2">
      <c r="A843" s="5" t="s">
        <v>80</v>
      </c>
      <c r="B843" s="5" t="s">
        <v>271</v>
      </c>
      <c r="C843" s="5"/>
      <c r="D843" s="2"/>
      <c r="E843" s="5"/>
      <c r="F843" s="5"/>
      <c r="G843" s="7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</row>
    <row r="844" spans="1:24" x14ac:dyDescent="0.2">
      <c r="A844" s="5"/>
      <c r="B844" s="5" t="s">
        <v>245</v>
      </c>
      <c r="C844" s="5" t="s">
        <v>98</v>
      </c>
      <c r="D844" s="2">
        <f>2</f>
        <v>2</v>
      </c>
      <c r="E844" s="5">
        <v>0</v>
      </c>
      <c r="F844" s="5"/>
      <c r="G844" s="7">
        <v>3</v>
      </c>
      <c r="H844" s="7">
        <v>0</v>
      </c>
      <c r="I844" s="39">
        <v>5</v>
      </c>
      <c r="J844" s="39">
        <v>3</v>
      </c>
      <c r="K844" s="39">
        <v>0</v>
      </c>
      <c r="L844" s="39">
        <v>0</v>
      </c>
      <c r="M844" s="39">
        <v>0</v>
      </c>
      <c r="N844" s="39">
        <v>0</v>
      </c>
      <c r="O844" s="39">
        <v>0</v>
      </c>
      <c r="P844" s="39">
        <v>0</v>
      </c>
      <c r="Q844" s="39">
        <v>0</v>
      </c>
      <c r="R844" s="39">
        <v>0</v>
      </c>
      <c r="S844" s="39">
        <v>11</v>
      </c>
      <c r="T844" s="39">
        <v>6</v>
      </c>
      <c r="U844" s="39">
        <v>0</v>
      </c>
      <c r="V844" s="39">
        <v>14</v>
      </c>
      <c r="W844" s="39">
        <v>12</v>
      </c>
      <c r="X844" s="39">
        <v>11</v>
      </c>
    </row>
    <row r="845" spans="1:24" x14ac:dyDescent="0.2">
      <c r="A845" s="5"/>
      <c r="B845" s="5"/>
      <c r="C845" s="5"/>
      <c r="D845" s="2"/>
      <c r="E845" s="5"/>
      <c r="F845" s="5"/>
      <c r="G845" s="7"/>
    </row>
    <row r="846" spans="1:24" x14ac:dyDescent="0.2">
      <c r="A846" s="5"/>
      <c r="B846" s="6" t="s">
        <v>272</v>
      </c>
      <c r="C846" s="5"/>
      <c r="D846" s="2"/>
      <c r="E846" s="5"/>
      <c r="F846" s="5"/>
      <c r="G846" s="7"/>
    </row>
    <row r="847" spans="1:24" x14ac:dyDescent="0.2">
      <c r="A847" s="6" t="s">
        <v>2</v>
      </c>
      <c r="B847" s="6" t="s">
        <v>232</v>
      </c>
      <c r="C847" s="5"/>
      <c r="D847" s="2"/>
      <c r="E847" s="5"/>
      <c r="F847" s="5"/>
      <c r="G847" s="7"/>
    </row>
    <row r="848" spans="1:24" x14ac:dyDescent="0.2">
      <c r="A848" s="5" t="s">
        <v>4</v>
      </c>
      <c r="B848" s="5" t="s">
        <v>61</v>
      </c>
      <c r="C848" s="7">
        <f>1627</f>
        <v>1627</v>
      </c>
      <c r="D848" s="1">
        <f>1600</f>
        <v>1600</v>
      </c>
      <c r="E848" s="7">
        <v>1641</v>
      </c>
      <c r="F848" s="7"/>
      <c r="G848" s="7">
        <v>1686</v>
      </c>
      <c r="H848" s="7">
        <v>1453</v>
      </c>
      <c r="I848" s="39">
        <v>3555</v>
      </c>
      <c r="J848" s="39">
        <v>2390</v>
      </c>
      <c r="K848" s="39">
        <v>2213</v>
      </c>
      <c r="L848" s="39">
        <v>1914</v>
      </c>
      <c r="M848" s="39">
        <v>1987</v>
      </c>
      <c r="N848" s="39">
        <v>2134</v>
      </c>
      <c r="O848" s="39">
        <v>2150</v>
      </c>
      <c r="P848" s="39">
        <v>1877</v>
      </c>
      <c r="Q848" s="39">
        <v>1426</v>
      </c>
      <c r="R848" s="39">
        <v>1405</v>
      </c>
      <c r="S848" s="39">
        <v>1559</v>
      </c>
      <c r="T848" s="39">
        <v>1407</v>
      </c>
      <c r="U848" s="39">
        <v>1305</v>
      </c>
      <c r="V848" s="39">
        <v>1189</v>
      </c>
      <c r="W848" s="39">
        <v>1254</v>
      </c>
      <c r="X848" s="39">
        <v>1199</v>
      </c>
    </row>
    <row r="849" spans="1:24" x14ac:dyDescent="0.2">
      <c r="A849" s="5" t="s">
        <v>59</v>
      </c>
      <c r="B849" s="5" t="s">
        <v>9</v>
      </c>
      <c r="C849" s="7">
        <f>1899</f>
        <v>1899</v>
      </c>
      <c r="D849" s="1">
        <f>1730</f>
        <v>1730</v>
      </c>
      <c r="E849" s="7">
        <v>1528</v>
      </c>
      <c r="F849" s="7"/>
      <c r="G849" s="7">
        <v>1634</v>
      </c>
      <c r="H849" s="7">
        <v>1721</v>
      </c>
      <c r="I849" s="39">
        <v>1785</v>
      </c>
      <c r="J849" s="39">
        <v>2772</v>
      </c>
      <c r="K849" s="39">
        <v>1878</v>
      </c>
      <c r="L849" s="39">
        <v>2061</v>
      </c>
      <c r="M849" s="39">
        <v>1889</v>
      </c>
      <c r="N849" s="39">
        <v>2566</v>
      </c>
      <c r="O849" s="39">
        <v>2310</v>
      </c>
      <c r="P849" s="39">
        <v>2500</v>
      </c>
      <c r="Q849" s="39">
        <v>2044</v>
      </c>
      <c r="R849" s="39">
        <v>1720</v>
      </c>
      <c r="S849" s="39">
        <v>1543</v>
      </c>
      <c r="T849" s="39">
        <v>1485</v>
      </c>
      <c r="U849" s="39">
        <v>1582</v>
      </c>
      <c r="V849" s="39">
        <v>1242</v>
      </c>
      <c r="W849" s="39">
        <v>1220</v>
      </c>
      <c r="X849" s="39">
        <v>1154</v>
      </c>
    </row>
    <row r="850" spans="1:24" x14ac:dyDescent="0.2">
      <c r="A850" s="5" t="s">
        <v>80</v>
      </c>
      <c r="B850" s="5" t="s">
        <v>64</v>
      </c>
      <c r="C850" s="7">
        <f>2749</f>
        <v>2749</v>
      </c>
      <c r="D850" s="1">
        <f>1848</f>
        <v>1848</v>
      </c>
      <c r="E850" s="7">
        <v>1961</v>
      </c>
      <c r="F850" s="7"/>
      <c r="G850" s="7">
        <v>2020</v>
      </c>
      <c r="H850" s="7">
        <v>1752</v>
      </c>
      <c r="I850" s="39">
        <v>3522</v>
      </c>
      <c r="J850" s="39">
        <v>3140</v>
      </c>
      <c r="K850" s="39">
        <v>3475</v>
      </c>
      <c r="L850" s="39">
        <v>3328</v>
      </c>
      <c r="M850" s="39">
        <v>3426</v>
      </c>
      <c r="N850" s="39">
        <v>2984</v>
      </c>
      <c r="O850" s="39">
        <v>2835</v>
      </c>
      <c r="P850" s="39">
        <v>2211</v>
      </c>
      <c r="Q850" s="39">
        <v>1593</v>
      </c>
      <c r="R850" s="39">
        <v>1275</v>
      </c>
      <c r="S850" s="39">
        <v>1306</v>
      </c>
      <c r="T850" s="39">
        <v>1230</v>
      </c>
      <c r="U850" s="39">
        <v>952</v>
      </c>
      <c r="V850" s="39">
        <v>899</v>
      </c>
      <c r="W850" s="39">
        <v>933</v>
      </c>
      <c r="X850" s="39">
        <v>978</v>
      </c>
    </row>
    <row r="851" spans="1:24" x14ac:dyDescent="0.2">
      <c r="A851" s="5" t="s">
        <v>82</v>
      </c>
      <c r="B851" s="5" t="s">
        <v>56</v>
      </c>
      <c r="C851" s="5"/>
      <c r="D851" s="2"/>
      <c r="E851" s="5"/>
      <c r="F851" s="5"/>
      <c r="G851" s="7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</row>
    <row r="852" spans="1:24" x14ac:dyDescent="0.2">
      <c r="A852" s="5"/>
      <c r="B852" s="5" t="s">
        <v>57</v>
      </c>
      <c r="C852" s="22">
        <f>19.7</f>
        <v>19.7</v>
      </c>
      <c r="D852" s="2">
        <f>20.4</f>
        <v>20.399999999999999</v>
      </c>
      <c r="E852" s="5">
        <v>19.5</v>
      </c>
      <c r="F852" s="5"/>
      <c r="G852" s="24">
        <v>18.899999999999999</v>
      </c>
      <c r="H852" s="7">
        <v>18.7</v>
      </c>
      <c r="I852" s="40">
        <v>16.8</v>
      </c>
      <c r="J852" s="40">
        <v>16.5</v>
      </c>
      <c r="K852" s="40">
        <v>15.9</v>
      </c>
      <c r="L852" s="40">
        <v>16</v>
      </c>
      <c r="M852" s="40">
        <v>17</v>
      </c>
      <c r="N852" s="40">
        <v>25.5</v>
      </c>
      <c r="O852" s="40">
        <v>20.3</v>
      </c>
      <c r="P852" s="40">
        <v>17.7</v>
      </c>
      <c r="Q852" s="40">
        <v>17.5</v>
      </c>
      <c r="R852" s="40">
        <v>15.1</v>
      </c>
      <c r="S852" s="40">
        <v>11</v>
      </c>
      <c r="T852" s="40">
        <v>10.9</v>
      </c>
      <c r="U852" s="40">
        <v>10.8</v>
      </c>
      <c r="V852" s="40">
        <v>10.1</v>
      </c>
      <c r="W852" s="40">
        <v>9</v>
      </c>
      <c r="X852" s="40">
        <v>11</v>
      </c>
    </row>
    <row r="853" spans="1:24" x14ac:dyDescent="0.2">
      <c r="A853" s="5"/>
      <c r="B853" s="5"/>
      <c r="C853" s="5"/>
      <c r="D853" s="2"/>
      <c r="E853" s="5"/>
      <c r="F853" s="5"/>
      <c r="G853" s="7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</row>
    <row r="854" spans="1:24" x14ac:dyDescent="0.2">
      <c r="A854" s="6" t="s">
        <v>89</v>
      </c>
      <c r="B854" s="6" t="s">
        <v>273</v>
      </c>
      <c r="C854" s="5"/>
      <c r="D854" s="2"/>
      <c r="E854" s="5"/>
      <c r="F854" s="5"/>
      <c r="G854" s="7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</row>
    <row r="855" spans="1:24" x14ac:dyDescent="0.2">
      <c r="A855" s="5" t="s">
        <v>4</v>
      </c>
      <c r="B855" s="5" t="s">
        <v>61</v>
      </c>
      <c r="C855" s="5">
        <f>164</f>
        <v>164</v>
      </c>
      <c r="D855" s="2">
        <f>216</f>
        <v>216</v>
      </c>
      <c r="E855" s="5">
        <v>223</v>
      </c>
      <c r="F855" s="5"/>
      <c r="G855" s="7">
        <v>243</v>
      </c>
      <c r="H855" s="7">
        <v>243</v>
      </c>
      <c r="I855" s="39">
        <v>331</v>
      </c>
      <c r="J855" s="39">
        <v>297</v>
      </c>
      <c r="K855" s="39">
        <v>364</v>
      </c>
      <c r="L855" s="39">
        <v>356</v>
      </c>
      <c r="M855" s="39">
        <v>458</v>
      </c>
      <c r="N855" s="39">
        <v>323</v>
      </c>
      <c r="O855" s="39">
        <v>397</v>
      </c>
      <c r="P855" s="39">
        <v>371</v>
      </c>
      <c r="Q855" s="39">
        <v>268</v>
      </c>
      <c r="R855" s="39">
        <v>348</v>
      </c>
      <c r="S855" s="39">
        <v>250</v>
      </c>
      <c r="T855" s="39">
        <v>212</v>
      </c>
      <c r="U855" s="39">
        <v>272</v>
      </c>
      <c r="V855" s="39">
        <v>204</v>
      </c>
      <c r="W855" s="39">
        <v>225</v>
      </c>
      <c r="X855" s="39">
        <v>188</v>
      </c>
    </row>
    <row r="856" spans="1:24" x14ac:dyDescent="0.2">
      <c r="A856" s="5" t="s">
        <v>59</v>
      </c>
      <c r="B856" s="5" t="s">
        <v>9</v>
      </c>
      <c r="C856" s="5">
        <f>170</f>
        <v>170</v>
      </c>
      <c r="D856" s="2">
        <f>187</f>
        <v>187</v>
      </c>
      <c r="E856" s="5">
        <v>219</v>
      </c>
      <c r="F856" s="5"/>
      <c r="G856" s="7">
        <v>225</v>
      </c>
      <c r="H856" s="7">
        <v>249</v>
      </c>
      <c r="I856" s="39">
        <v>321</v>
      </c>
      <c r="J856" s="39">
        <v>309</v>
      </c>
      <c r="K856" s="39">
        <v>314</v>
      </c>
      <c r="L856" s="39">
        <v>384</v>
      </c>
      <c r="M856" s="39">
        <v>349</v>
      </c>
      <c r="N856" s="39">
        <v>428</v>
      </c>
      <c r="O856" s="39">
        <v>403</v>
      </c>
      <c r="P856" s="39">
        <v>381</v>
      </c>
      <c r="Q856" s="39">
        <v>313</v>
      </c>
      <c r="R856" s="39">
        <v>330</v>
      </c>
      <c r="S856" s="39">
        <v>250</v>
      </c>
      <c r="T856" s="39">
        <v>221</v>
      </c>
      <c r="U856" s="39">
        <v>276</v>
      </c>
      <c r="V856" s="39">
        <v>225</v>
      </c>
      <c r="W856" s="39">
        <v>214</v>
      </c>
      <c r="X856" s="39">
        <v>208</v>
      </c>
    </row>
    <row r="857" spans="1:24" x14ac:dyDescent="0.2">
      <c r="A857" s="5" t="s">
        <v>80</v>
      </c>
      <c r="B857" s="5" t="s">
        <v>64</v>
      </c>
      <c r="C857" s="5">
        <f>75</f>
        <v>75</v>
      </c>
      <c r="D857" s="2">
        <f>81</f>
        <v>81</v>
      </c>
      <c r="E857" s="5">
        <v>85</v>
      </c>
      <c r="F857" s="5"/>
      <c r="G857" s="7">
        <v>107</v>
      </c>
      <c r="H857" s="7">
        <v>101</v>
      </c>
      <c r="I857" s="39">
        <v>111</v>
      </c>
      <c r="J857" s="39">
        <v>99</v>
      </c>
      <c r="K857" s="39">
        <v>149</v>
      </c>
      <c r="L857" s="39">
        <v>121</v>
      </c>
      <c r="M857" s="39">
        <v>230</v>
      </c>
      <c r="N857" s="39">
        <v>125</v>
      </c>
      <c r="O857" s="39">
        <v>118</v>
      </c>
      <c r="P857" s="39">
        <v>108</v>
      </c>
      <c r="Q857" s="39">
        <v>63</v>
      </c>
      <c r="R857" s="39">
        <v>81</v>
      </c>
      <c r="S857" s="39">
        <v>82</v>
      </c>
      <c r="T857" s="39">
        <v>73</v>
      </c>
      <c r="U857" s="39">
        <v>70</v>
      </c>
      <c r="V857" s="39">
        <v>49</v>
      </c>
      <c r="W857" s="39">
        <v>60</v>
      </c>
      <c r="X857" s="39">
        <v>40</v>
      </c>
    </row>
    <row r="858" spans="1:24" x14ac:dyDescent="0.2">
      <c r="A858" s="5" t="s">
        <v>82</v>
      </c>
      <c r="B858" s="5" t="s">
        <v>144</v>
      </c>
      <c r="C858" s="5"/>
      <c r="D858" s="2"/>
      <c r="E858" s="5"/>
      <c r="F858" s="5"/>
      <c r="G858" s="7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</row>
    <row r="859" spans="1:24" x14ac:dyDescent="0.2">
      <c r="A859" s="5"/>
      <c r="B859" s="5" t="s">
        <v>57</v>
      </c>
      <c r="C859" s="22">
        <f>4.8</f>
        <v>4.8</v>
      </c>
      <c r="D859" s="2">
        <f>3.6</f>
        <v>3.6</v>
      </c>
      <c r="E859" s="5">
        <v>4.5</v>
      </c>
      <c r="F859" s="5"/>
      <c r="G859" s="24">
        <v>4.0999999999999996</v>
      </c>
      <c r="H859" s="24">
        <v>4.5</v>
      </c>
      <c r="I859" s="40">
        <v>7.5</v>
      </c>
      <c r="J859" s="40">
        <v>4.5999999999999996</v>
      </c>
      <c r="K859" s="40">
        <v>4.3</v>
      </c>
      <c r="L859" s="40">
        <v>4.3</v>
      </c>
      <c r="M859" s="40">
        <v>3.7</v>
      </c>
      <c r="N859" s="40">
        <v>7.4</v>
      </c>
      <c r="O859" s="40">
        <v>4.9000000000000004</v>
      </c>
      <c r="P859" s="40">
        <v>3.7</v>
      </c>
      <c r="Q859" s="40">
        <v>4.4000000000000004</v>
      </c>
      <c r="R859" s="40">
        <v>3</v>
      </c>
      <c r="S859" s="40">
        <v>3.8</v>
      </c>
      <c r="T859" s="40">
        <v>4.3</v>
      </c>
      <c r="U859" s="40">
        <v>3.2</v>
      </c>
      <c r="V859" s="40">
        <v>3.5</v>
      </c>
      <c r="W859" s="40">
        <v>3</v>
      </c>
      <c r="X859" s="40">
        <v>2.4</v>
      </c>
    </row>
    <row r="860" spans="1:24" x14ac:dyDescent="0.2">
      <c r="A860" s="5"/>
      <c r="B860" s="5"/>
      <c r="C860" s="5"/>
      <c r="D860" s="2"/>
      <c r="E860" s="5"/>
      <c r="F860" s="5"/>
      <c r="G860" s="7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</row>
    <row r="861" spans="1:24" x14ac:dyDescent="0.2">
      <c r="A861" s="6" t="s">
        <v>121</v>
      </c>
      <c r="B861" s="6" t="s">
        <v>274</v>
      </c>
      <c r="C861" s="5"/>
      <c r="D861" s="2"/>
      <c r="E861" s="5"/>
      <c r="F861" s="5"/>
      <c r="G861" s="7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</row>
    <row r="862" spans="1:24" x14ac:dyDescent="0.2">
      <c r="A862" s="5" t="s">
        <v>4</v>
      </c>
      <c r="B862" s="5" t="s">
        <v>275</v>
      </c>
      <c r="C862" s="5">
        <f>26</f>
        <v>26</v>
      </c>
      <c r="D862" s="2">
        <f>17</f>
        <v>17</v>
      </c>
      <c r="E862" s="5">
        <v>17</v>
      </c>
      <c r="F862" s="5"/>
      <c r="G862" s="7">
        <v>8</v>
      </c>
      <c r="H862" s="7">
        <v>0</v>
      </c>
      <c r="I862" s="39">
        <v>0</v>
      </c>
      <c r="J862" s="39">
        <v>23</v>
      </c>
      <c r="K862" s="39">
        <v>7</v>
      </c>
      <c r="L862" s="39">
        <v>17</v>
      </c>
      <c r="M862" s="39">
        <v>12</v>
      </c>
      <c r="N862" s="39">
        <v>34</v>
      </c>
      <c r="O862" s="39">
        <v>43</v>
      </c>
      <c r="P862" s="39">
        <v>24</v>
      </c>
      <c r="Q862" s="39">
        <v>39</v>
      </c>
      <c r="R862" s="39">
        <v>52</v>
      </c>
      <c r="S862" s="39">
        <v>51</v>
      </c>
      <c r="T862" s="39">
        <v>44</v>
      </c>
      <c r="U862" s="39">
        <v>85</v>
      </c>
      <c r="V862" s="39">
        <v>57</v>
      </c>
      <c r="W862" s="39">
        <v>42</v>
      </c>
      <c r="X862" s="39">
        <v>34</v>
      </c>
    </row>
    <row r="863" spans="1:24" x14ac:dyDescent="0.2">
      <c r="A863" s="5" t="s">
        <v>59</v>
      </c>
      <c r="B863" s="5" t="s">
        <v>276</v>
      </c>
      <c r="C863" s="5">
        <f>26</f>
        <v>26</v>
      </c>
      <c r="D863" s="2">
        <f>7</f>
        <v>7</v>
      </c>
      <c r="E863" s="5">
        <v>31</v>
      </c>
      <c r="F863" s="5"/>
      <c r="G863" s="7">
        <v>11</v>
      </c>
      <c r="H863" s="7">
        <v>41</v>
      </c>
      <c r="I863" s="39">
        <v>24</v>
      </c>
      <c r="J863" s="39">
        <v>45</v>
      </c>
      <c r="K863" s="39">
        <v>26</v>
      </c>
      <c r="L863" s="39">
        <v>37</v>
      </c>
      <c r="M863" s="39">
        <v>30</v>
      </c>
      <c r="N863" s="39">
        <v>43</v>
      </c>
      <c r="O863" s="39">
        <v>25</v>
      </c>
      <c r="P863" s="39">
        <v>39</v>
      </c>
      <c r="Q863" s="39">
        <v>39</v>
      </c>
      <c r="R863" s="39">
        <v>33</v>
      </c>
      <c r="S863" s="39">
        <v>31</v>
      </c>
      <c r="T863" s="39">
        <v>46</v>
      </c>
      <c r="U863" s="39">
        <v>48</v>
      </c>
      <c r="V863" s="39">
        <v>38</v>
      </c>
      <c r="W863" s="39">
        <v>39</v>
      </c>
      <c r="X863" s="39">
        <v>28</v>
      </c>
    </row>
    <row r="864" spans="1:24" x14ac:dyDescent="0.2">
      <c r="A864" s="5"/>
      <c r="B864" s="5"/>
      <c r="C864" s="5"/>
      <c r="D864" s="2"/>
      <c r="E864" s="5"/>
      <c r="F864" s="5"/>
      <c r="G864" s="7"/>
    </row>
    <row r="865" spans="1:24" x14ac:dyDescent="0.2">
      <c r="A865" s="5"/>
      <c r="B865" s="6" t="s">
        <v>310</v>
      </c>
      <c r="C865" s="5"/>
      <c r="D865" s="2"/>
      <c r="E865" s="5"/>
      <c r="F865" s="5"/>
      <c r="G865" s="7"/>
    </row>
    <row r="866" spans="1:24" x14ac:dyDescent="0.2">
      <c r="A866" s="6" t="s">
        <v>2</v>
      </c>
      <c r="B866" s="6" t="s">
        <v>232</v>
      </c>
      <c r="C866" s="5"/>
      <c r="D866" s="2"/>
      <c r="E866" s="5"/>
      <c r="F866" s="5"/>
      <c r="G866" s="7"/>
    </row>
    <row r="867" spans="1:24" x14ac:dyDescent="0.2">
      <c r="A867" s="5" t="s">
        <v>4</v>
      </c>
      <c r="B867" s="5" t="s">
        <v>61</v>
      </c>
      <c r="C867" s="7">
        <f>1627</f>
        <v>1627</v>
      </c>
      <c r="D867" s="1">
        <f>1600</f>
        <v>1600</v>
      </c>
      <c r="E867" s="7">
        <v>1641</v>
      </c>
      <c r="F867" s="7"/>
      <c r="G867" s="7">
        <v>1686</v>
      </c>
      <c r="H867" s="7">
        <v>1453</v>
      </c>
      <c r="I867" s="39">
        <v>3555</v>
      </c>
      <c r="J867" s="39">
        <v>2390</v>
      </c>
      <c r="K867" s="39">
        <v>2213</v>
      </c>
      <c r="L867" s="39">
        <v>13045</v>
      </c>
      <c r="M867" s="39">
        <v>14238</v>
      </c>
      <c r="N867" s="39">
        <v>15499</v>
      </c>
      <c r="O867" s="39">
        <v>16306</v>
      </c>
      <c r="P867" s="39">
        <v>15319</v>
      </c>
      <c r="Q867" s="39">
        <v>13701</v>
      </c>
      <c r="R867" s="39">
        <v>12280</v>
      </c>
      <c r="S867" s="39">
        <v>12203</v>
      </c>
      <c r="T867" s="39">
        <v>12506</v>
      </c>
      <c r="U867" s="39">
        <v>13968</v>
      </c>
      <c r="V867" s="39">
        <v>12187</v>
      </c>
      <c r="W867" s="39">
        <v>12374</v>
      </c>
      <c r="X867" s="39">
        <v>12346</v>
      </c>
    </row>
    <row r="868" spans="1:24" x14ac:dyDescent="0.2">
      <c r="A868" s="5" t="s">
        <v>59</v>
      </c>
      <c r="B868" s="5" t="s">
        <v>9</v>
      </c>
      <c r="C868" s="7">
        <f>1899</f>
        <v>1899</v>
      </c>
      <c r="D868" s="1">
        <f>1730</f>
        <v>1730</v>
      </c>
      <c r="E868" s="7">
        <v>1528</v>
      </c>
      <c r="F868" s="7"/>
      <c r="G868" s="7">
        <v>1634</v>
      </c>
      <c r="H868" s="7">
        <v>1721</v>
      </c>
      <c r="I868" s="39">
        <v>1785</v>
      </c>
      <c r="J868" s="39">
        <v>2772</v>
      </c>
      <c r="K868" s="39">
        <v>1878</v>
      </c>
      <c r="L868" s="39">
        <v>12658</v>
      </c>
      <c r="M868" s="39">
        <v>14040</v>
      </c>
      <c r="N868" s="39">
        <v>14748</v>
      </c>
      <c r="O868" s="39">
        <v>16031</v>
      </c>
      <c r="P868" s="39">
        <v>15987</v>
      </c>
      <c r="Q868" s="39">
        <v>14820</v>
      </c>
      <c r="R868" s="39">
        <v>12886</v>
      </c>
      <c r="S868" s="39">
        <v>12554</v>
      </c>
      <c r="T868" s="39">
        <v>12224</v>
      </c>
      <c r="U868" s="39">
        <v>13365</v>
      </c>
      <c r="V868" s="39">
        <v>13543</v>
      </c>
      <c r="W868" s="39">
        <v>12344</v>
      </c>
      <c r="X868" s="39">
        <v>12456</v>
      </c>
    </row>
    <row r="869" spans="1:24" x14ac:dyDescent="0.2">
      <c r="A869" s="5" t="s">
        <v>80</v>
      </c>
      <c r="B869" s="5" t="s">
        <v>64</v>
      </c>
      <c r="C869" s="7">
        <f>2749</f>
        <v>2749</v>
      </c>
      <c r="D869" s="1">
        <f>1848</f>
        <v>1848</v>
      </c>
      <c r="E869" s="7">
        <v>1961</v>
      </c>
      <c r="F869" s="7"/>
      <c r="G869" s="7">
        <v>2020</v>
      </c>
      <c r="H869" s="7">
        <v>1752</v>
      </c>
      <c r="I869" s="39">
        <v>3522</v>
      </c>
      <c r="J869" s="39">
        <v>3140</v>
      </c>
      <c r="K869" s="39">
        <v>3475</v>
      </c>
      <c r="L869" s="39">
        <v>5461</v>
      </c>
      <c r="M869" s="39">
        <v>5659</v>
      </c>
      <c r="N869" s="39">
        <v>6410</v>
      </c>
      <c r="O869" s="39">
        <v>6685</v>
      </c>
      <c r="P869" s="39">
        <v>6017</v>
      </c>
      <c r="Q869" s="39">
        <v>4898</v>
      </c>
      <c r="R869" s="39">
        <v>4292</v>
      </c>
      <c r="S869" s="39">
        <v>4162</v>
      </c>
      <c r="T869" s="39">
        <v>4438</v>
      </c>
      <c r="U869" s="39">
        <v>5037</v>
      </c>
      <c r="V869" s="39">
        <v>3690</v>
      </c>
      <c r="W869" s="39">
        <v>3733</v>
      </c>
      <c r="X869" s="39">
        <v>3625</v>
      </c>
    </row>
    <row r="870" spans="1:24" x14ac:dyDescent="0.2">
      <c r="A870" s="5" t="s">
        <v>82</v>
      </c>
      <c r="B870" s="5" t="s">
        <v>56</v>
      </c>
      <c r="C870" s="5"/>
      <c r="D870" s="2"/>
      <c r="E870" s="5"/>
      <c r="F870" s="5"/>
      <c r="G870" s="7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</row>
    <row r="871" spans="1:24" x14ac:dyDescent="0.2">
      <c r="A871" s="5"/>
      <c r="B871" s="5" t="s">
        <v>57</v>
      </c>
      <c r="C871" s="22">
        <f>19.7</f>
        <v>19.7</v>
      </c>
      <c r="D871" s="2">
        <f>20.4</f>
        <v>20.399999999999999</v>
      </c>
      <c r="E871" s="5">
        <v>19.5</v>
      </c>
      <c r="F871" s="5"/>
      <c r="G871" s="24">
        <v>18.899999999999999</v>
      </c>
      <c r="H871" s="7">
        <v>18.7</v>
      </c>
      <c r="I871" s="40">
        <v>16.8</v>
      </c>
      <c r="J871" s="40">
        <v>16.5</v>
      </c>
      <c r="K871" s="40">
        <v>15.9</v>
      </c>
      <c r="L871" s="40">
        <v>5</v>
      </c>
      <c r="M871" s="40">
        <v>4.8</v>
      </c>
      <c r="N871" s="40">
        <v>5.2</v>
      </c>
      <c r="O871" s="40">
        <v>4.9000000000000004</v>
      </c>
      <c r="P871" s="40">
        <f>((6685+6017)/2)/15987*12</f>
        <v>4.7671232876712324</v>
      </c>
      <c r="Q871" s="40">
        <f>((6017+4898)/2)/14820*12</f>
        <v>4.4190283400809713</v>
      </c>
      <c r="R871" s="40">
        <f>((4898+4292)/2)/12886*12</f>
        <v>4.2790625485022504</v>
      </c>
      <c r="S871" s="40">
        <v>3.7</v>
      </c>
      <c r="T871" s="40">
        <v>3.7</v>
      </c>
      <c r="U871" s="40">
        <v>3.7</v>
      </c>
      <c r="V871" s="40">
        <v>4.0999999999999996</v>
      </c>
      <c r="W871" s="40">
        <v>3.5</v>
      </c>
      <c r="X871" s="40">
        <v>3.1</v>
      </c>
    </row>
    <row r="872" spans="1:24" x14ac:dyDescent="0.2">
      <c r="A872" s="5"/>
      <c r="B872" s="5"/>
      <c r="C872" s="5"/>
      <c r="D872" s="2"/>
      <c r="E872" s="5"/>
      <c r="F872" s="5"/>
      <c r="G872" s="7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</row>
    <row r="873" spans="1:24" x14ac:dyDescent="0.2">
      <c r="A873" s="5"/>
      <c r="B873" s="5"/>
      <c r="C873" s="5"/>
      <c r="D873" s="63">
        <f>1993</f>
        <v>1993</v>
      </c>
      <c r="E873" s="63">
        <f>1994</f>
        <v>1994</v>
      </c>
      <c r="F873" s="63"/>
      <c r="G873" s="64">
        <v>1995</v>
      </c>
      <c r="H873" s="64">
        <v>1996</v>
      </c>
      <c r="I873" s="38">
        <v>1997</v>
      </c>
      <c r="J873" s="38">
        <v>1998</v>
      </c>
      <c r="K873" s="38">
        <v>1999</v>
      </c>
      <c r="L873" s="38">
        <v>2000</v>
      </c>
      <c r="M873" s="38">
        <v>2001</v>
      </c>
      <c r="N873" s="38">
        <v>2002</v>
      </c>
      <c r="O873" s="38">
        <v>2003</v>
      </c>
      <c r="P873" s="38">
        <v>2004</v>
      </c>
      <c r="Q873" s="38">
        <v>2005</v>
      </c>
      <c r="R873" s="38">
        <v>2006</v>
      </c>
      <c r="S873" s="38">
        <v>2007</v>
      </c>
      <c r="T873" s="38">
        <v>2008</v>
      </c>
      <c r="U873" s="38">
        <v>2009</v>
      </c>
      <c r="V873" s="38">
        <v>2010</v>
      </c>
      <c r="W873" s="38">
        <v>2011</v>
      </c>
      <c r="X873" s="38">
        <v>2012</v>
      </c>
    </row>
    <row r="874" spans="1:24" x14ac:dyDescent="0.2">
      <c r="A874" s="6" t="s">
        <v>89</v>
      </c>
      <c r="B874" s="6" t="s">
        <v>311</v>
      </c>
      <c r="C874" s="5"/>
      <c r="D874" s="2"/>
      <c r="E874" s="5"/>
      <c r="F874" s="5"/>
      <c r="G874" s="7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</row>
    <row r="875" spans="1:24" x14ac:dyDescent="0.2">
      <c r="A875" s="5" t="s">
        <v>4</v>
      </c>
      <c r="B875" s="5" t="s">
        <v>61</v>
      </c>
      <c r="C875" s="5">
        <f>164</f>
        <v>164</v>
      </c>
      <c r="D875" s="2">
        <f>216</f>
        <v>216</v>
      </c>
      <c r="E875" s="5">
        <v>223</v>
      </c>
      <c r="F875" s="5"/>
      <c r="G875" s="7">
        <v>243</v>
      </c>
      <c r="H875" s="7">
        <v>243</v>
      </c>
      <c r="I875" s="39">
        <v>331</v>
      </c>
      <c r="J875" s="39">
        <v>297</v>
      </c>
      <c r="K875" s="39">
        <v>364</v>
      </c>
      <c r="L875" s="39">
        <v>408</v>
      </c>
      <c r="M875" s="39">
        <v>460</v>
      </c>
      <c r="N875" s="39">
        <v>395</v>
      </c>
      <c r="O875" s="39">
        <v>533</v>
      </c>
      <c r="P875" s="39">
        <v>483</v>
      </c>
      <c r="Q875" s="39">
        <v>642</v>
      </c>
      <c r="R875" s="39">
        <v>921</v>
      </c>
      <c r="S875" s="39">
        <v>699</v>
      </c>
      <c r="T875" s="39">
        <v>745</v>
      </c>
      <c r="U875" s="39">
        <v>753</v>
      </c>
      <c r="V875" s="39">
        <v>667</v>
      </c>
      <c r="W875" s="39">
        <v>613</v>
      </c>
      <c r="X875" s="39">
        <v>759</v>
      </c>
    </row>
    <row r="876" spans="1:24" x14ac:dyDescent="0.2">
      <c r="A876" s="5" t="s">
        <v>59</v>
      </c>
      <c r="B876" s="5" t="s">
        <v>9</v>
      </c>
      <c r="C876" s="5">
        <f>170</f>
        <v>170</v>
      </c>
      <c r="D876" s="2">
        <f>187</f>
        <v>187</v>
      </c>
      <c r="E876" s="5">
        <v>219</v>
      </c>
      <c r="F876" s="5"/>
      <c r="G876" s="7">
        <v>225</v>
      </c>
      <c r="H876" s="7">
        <v>249</v>
      </c>
      <c r="I876" s="39">
        <v>321</v>
      </c>
      <c r="J876" s="39">
        <v>309</v>
      </c>
      <c r="K876" s="39">
        <v>314</v>
      </c>
      <c r="L876" s="39">
        <v>415</v>
      </c>
      <c r="M876" s="39">
        <v>441</v>
      </c>
      <c r="N876" s="39">
        <v>406</v>
      </c>
      <c r="O876" s="39">
        <v>483</v>
      </c>
      <c r="P876" s="39">
        <v>526</v>
      </c>
      <c r="Q876" s="39">
        <v>562</v>
      </c>
      <c r="R876" s="39">
        <v>869</v>
      </c>
      <c r="S876" s="39">
        <v>779</v>
      </c>
      <c r="T876" s="39">
        <v>721</v>
      </c>
      <c r="U876" s="39">
        <v>646</v>
      </c>
      <c r="V876" s="39">
        <v>795</v>
      </c>
      <c r="W876" s="39">
        <v>655</v>
      </c>
      <c r="X876" s="39">
        <v>678</v>
      </c>
    </row>
    <row r="877" spans="1:24" x14ac:dyDescent="0.2">
      <c r="A877" s="5" t="s">
        <v>80</v>
      </c>
      <c r="B877" s="5" t="s">
        <v>64</v>
      </c>
      <c r="C877" s="5">
        <f>75</f>
        <v>75</v>
      </c>
      <c r="D877" s="2">
        <f>81</f>
        <v>81</v>
      </c>
      <c r="E877" s="5">
        <v>85</v>
      </c>
      <c r="F877" s="5"/>
      <c r="G877" s="7">
        <v>107</v>
      </c>
      <c r="H877" s="7">
        <v>101</v>
      </c>
      <c r="I877" s="39">
        <v>111</v>
      </c>
      <c r="J877" s="39">
        <v>99</v>
      </c>
      <c r="K877" s="39">
        <v>149</v>
      </c>
      <c r="L877" s="39">
        <v>167</v>
      </c>
      <c r="M877" s="39">
        <v>186</v>
      </c>
      <c r="N877" s="39">
        <v>175</v>
      </c>
      <c r="O877" s="39">
        <v>225</v>
      </c>
      <c r="P877" s="39">
        <v>182</v>
      </c>
      <c r="Q877" s="39">
        <v>262</v>
      </c>
      <c r="R877" s="39">
        <v>314</v>
      </c>
      <c r="S877" s="39">
        <v>263</v>
      </c>
      <c r="T877" s="39">
        <v>285</v>
      </c>
      <c r="U877" s="39">
        <v>385</v>
      </c>
      <c r="V877" s="39">
        <v>257</v>
      </c>
      <c r="W877" s="39">
        <v>216</v>
      </c>
      <c r="X877" s="39">
        <v>297</v>
      </c>
    </row>
    <row r="878" spans="1:24" x14ac:dyDescent="0.2">
      <c r="A878" s="5" t="s">
        <v>82</v>
      </c>
      <c r="B878" s="5" t="s">
        <v>56</v>
      </c>
      <c r="C878" s="5"/>
      <c r="D878" s="2"/>
      <c r="E878" s="5"/>
      <c r="F878" s="5"/>
      <c r="G878" s="7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</row>
    <row r="879" spans="1:24" x14ac:dyDescent="0.2">
      <c r="A879" s="5"/>
      <c r="B879" s="5" t="s">
        <v>57</v>
      </c>
      <c r="C879" s="22">
        <f>4.8</f>
        <v>4.8</v>
      </c>
      <c r="D879" s="2">
        <f>3.6</f>
        <v>3.6</v>
      </c>
      <c r="E879" s="5">
        <v>4.5</v>
      </c>
      <c r="F879" s="5"/>
      <c r="G879" s="24">
        <v>4.0999999999999996</v>
      </c>
      <c r="H879" s="24">
        <v>4.5</v>
      </c>
      <c r="I879" s="40">
        <v>7.5</v>
      </c>
      <c r="J879" s="40">
        <v>4.5999999999999996</v>
      </c>
      <c r="K879" s="40">
        <v>4.3</v>
      </c>
      <c r="L879" s="40">
        <v>4.9000000000000004</v>
      </c>
      <c r="M879" s="40">
        <v>4.8</v>
      </c>
      <c r="N879" s="40">
        <v>5.3</v>
      </c>
      <c r="O879" s="40">
        <v>5</v>
      </c>
      <c r="P879" s="40">
        <f>((225+182)/2)/526*12</f>
        <v>4.6425855513307983</v>
      </c>
      <c r="Q879" s="40">
        <f>((182+262)/2)/562*12</f>
        <v>4.7402135231316729</v>
      </c>
      <c r="R879" s="40">
        <f>((262+314)/2)/869*12</f>
        <v>3.9769850402761793</v>
      </c>
      <c r="S879" s="40">
        <v>4.5999999999999996</v>
      </c>
      <c r="T879" s="40">
        <v>4</v>
      </c>
      <c r="U879" s="40">
        <v>4.9000000000000004</v>
      </c>
      <c r="V879" s="40">
        <v>4.7</v>
      </c>
      <c r="W879" s="40">
        <v>4.4000000000000004</v>
      </c>
      <c r="X879" s="40">
        <v>3.7</v>
      </c>
    </row>
    <row r="880" spans="1:24" x14ac:dyDescent="0.2">
      <c r="A880" s="5"/>
      <c r="B880" s="5"/>
      <c r="C880" s="5"/>
      <c r="D880" s="2"/>
      <c r="E880" s="5"/>
      <c r="F880" s="5"/>
      <c r="G880" s="7"/>
      <c r="I880" s="39"/>
      <c r="J880" s="39"/>
      <c r="K880" s="39"/>
      <c r="L880" s="48"/>
      <c r="M880" s="48"/>
      <c r="N880" s="48"/>
      <c r="O880" s="21"/>
      <c r="P880" s="21"/>
      <c r="Q880" s="21"/>
      <c r="R880" s="21"/>
      <c r="S880" s="21"/>
      <c r="T880" s="21"/>
      <c r="U880" s="21"/>
    </row>
    <row r="881" spans="1:24" x14ac:dyDescent="0.2">
      <c r="A881" s="6" t="s">
        <v>121</v>
      </c>
      <c r="B881" s="6" t="s">
        <v>312</v>
      </c>
      <c r="C881" s="5"/>
      <c r="D881" s="2"/>
      <c r="E881" s="5"/>
      <c r="F881" s="5"/>
      <c r="G881" s="7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</row>
    <row r="882" spans="1:24" x14ac:dyDescent="0.2">
      <c r="A882" s="5" t="s">
        <v>4</v>
      </c>
      <c r="B882" s="5" t="s">
        <v>61</v>
      </c>
      <c r="C882" s="7">
        <f>1627</f>
        <v>1627</v>
      </c>
      <c r="D882" s="1">
        <f>1600</f>
        <v>1600</v>
      </c>
      <c r="E882" s="7">
        <v>1641</v>
      </c>
      <c r="F882" s="7"/>
      <c r="G882" s="7">
        <v>1686</v>
      </c>
      <c r="H882" s="7">
        <v>1453</v>
      </c>
      <c r="I882" s="39">
        <v>3555</v>
      </c>
      <c r="J882" s="39">
        <v>2390</v>
      </c>
      <c r="K882" s="39">
        <v>2213</v>
      </c>
      <c r="L882" s="39">
        <v>294</v>
      </c>
      <c r="M882" s="39">
        <v>470</v>
      </c>
      <c r="N882" s="39">
        <v>352</v>
      </c>
      <c r="O882" s="39">
        <v>458</v>
      </c>
      <c r="P882" s="39">
        <v>431</v>
      </c>
      <c r="Q882" s="39">
        <v>414</v>
      </c>
      <c r="R882" s="39">
        <v>336</v>
      </c>
      <c r="S882" s="39" t="s">
        <v>329</v>
      </c>
      <c r="T882" s="39" t="s">
        <v>329</v>
      </c>
      <c r="U882" s="39" t="s">
        <v>329</v>
      </c>
      <c r="V882" s="39" t="s">
        <v>329</v>
      </c>
      <c r="W882" s="39" t="s">
        <v>329</v>
      </c>
      <c r="X882" s="105" t="s">
        <v>329</v>
      </c>
    </row>
    <row r="883" spans="1:24" x14ac:dyDescent="0.2">
      <c r="A883" s="5" t="s">
        <v>59</v>
      </c>
      <c r="B883" s="5" t="s">
        <v>9</v>
      </c>
      <c r="C883" s="7">
        <f>1899</f>
        <v>1899</v>
      </c>
      <c r="D883" s="1">
        <f>1730</f>
        <v>1730</v>
      </c>
      <c r="E883" s="7">
        <v>1528</v>
      </c>
      <c r="F883" s="7"/>
      <c r="G883" s="7">
        <v>1634</v>
      </c>
      <c r="H883" s="7">
        <v>1721</v>
      </c>
      <c r="I883" s="39">
        <v>1785</v>
      </c>
      <c r="J883" s="39">
        <v>2772</v>
      </c>
      <c r="K883" s="39">
        <v>1878</v>
      </c>
      <c r="L883" s="39">
        <v>294</v>
      </c>
      <c r="M883" s="39">
        <v>464</v>
      </c>
      <c r="N883" s="39">
        <v>351</v>
      </c>
      <c r="O883" s="39">
        <v>451</v>
      </c>
      <c r="P883" s="39">
        <v>449</v>
      </c>
      <c r="Q883" s="39">
        <v>416</v>
      </c>
      <c r="R883" s="39">
        <v>335</v>
      </c>
      <c r="S883" s="39" t="s">
        <v>329</v>
      </c>
      <c r="T883" s="39" t="s">
        <v>329</v>
      </c>
      <c r="U883" s="39" t="s">
        <v>329</v>
      </c>
      <c r="V883" s="39" t="s">
        <v>329</v>
      </c>
      <c r="W883" s="39" t="s">
        <v>329</v>
      </c>
      <c r="X883" s="105" t="s">
        <v>329</v>
      </c>
    </row>
    <row r="884" spans="1:24" x14ac:dyDescent="0.2">
      <c r="A884" s="5"/>
      <c r="B884" s="5"/>
      <c r="C884" s="5"/>
      <c r="D884" s="2"/>
      <c r="E884" s="5"/>
      <c r="F884" s="5"/>
      <c r="G884" s="7"/>
    </row>
    <row r="885" spans="1:24" x14ac:dyDescent="0.2">
      <c r="A885" s="5"/>
      <c r="B885" s="6" t="s">
        <v>313</v>
      </c>
      <c r="C885" s="5"/>
      <c r="D885" s="2"/>
      <c r="E885" s="5"/>
      <c r="F885" s="5"/>
      <c r="G885" s="7"/>
    </row>
    <row r="886" spans="1:24" x14ac:dyDescent="0.2">
      <c r="A886" s="5"/>
      <c r="B886" s="5"/>
      <c r="C886" s="5"/>
      <c r="D886" s="2"/>
      <c r="E886" s="5"/>
      <c r="F886" s="5"/>
      <c r="G886" s="7"/>
      <c r="I886" s="48"/>
      <c r="J886" s="48"/>
      <c r="K886" s="48"/>
    </row>
    <row r="887" spans="1:24" x14ac:dyDescent="0.2">
      <c r="A887" s="6" t="s">
        <v>2</v>
      </c>
      <c r="B887" s="6" t="s">
        <v>252</v>
      </c>
      <c r="C887" s="5"/>
      <c r="D887" s="2"/>
      <c r="E887" s="5"/>
      <c r="F887" s="5"/>
      <c r="G887" s="7"/>
    </row>
    <row r="888" spans="1:24" x14ac:dyDescent="0.2">
      <c r="A888" s="5" t="s">
        <v>4</v>
      </c>
      <c r="B888" s="5" t="s">
        <v>61</v>
      </c>
      <c r="C888" s="7">
        <f>1627</f>
        <v>1627</v>
      </c>
      <c r="D888" s="1">
        <f>1600</f>
        <v>1600</v>
      </c>
      <c r="E888" s="7">
        <v>1641</v>
      </c>
      <c r="F888" s="7"/>
      <c r="G888" s="7">
        <v>1686</v>
      </c>
      <c r="H888" s="7">
        <v>1453</v>
      </c>
      <c r="I888" s="39">
        <v>3555</v>
      </c>
      <c r="J888" s="39">
        <v>2390</v>
      </c>
      <c r="K888" s="39">
        <v>2213</v>
      </c>
      <c r="L888" s="39">
        <v>811</v>
      </c>
      <c r="M888" s="39">
        <v>782</v>
      </c>
      <c r="N888" s="39">
        <v>708</v>
      </c>
      <c r="O888" s="39">
        <v>774</v>
      </c>
      <c r="P888" s="39">
        <v>796</v>
      </c>
      <c r="Q888" s="39">
        <v>807</v>
      </c>
      <c r="R888" s="39">
        <v>668</v>
      </c>
      <c r="S888" s="39">
        <v>650</v>
      </c>
      <c r="T888" s="39">
        <v>787</v>
      </c>
      <c r="U888" s="39">
        <v>700</v>
      </c>
      <c r="V888" s="39">
        <v>806</v>
      </c>
      <c r="W888" s="39">
        <v>791</v>
      </c>
      <c r="X888" s="39">
        <v>769</v>
      </c>
    </row>
    <row r="889" spans="1:24" x14ac:dyDescent="0.2">
      <c r="A889" s="5" t="s">
        <v>59</v>
      </c>
      <c r="B889" s="5" t="s">
        <v>9</v>
      </c>
      <c r="C889" s="7">
        <f>1899</f>
        <v>1899</v>
      </c>
      <c r="D889" s="1">
        <f>1730</f>
        <v>1730</v>
      </c>
      <c r="E889" s="7">
        <v>1528</v>
      </c>
      <c r="F889" s="7"/>
      <c r="G889" s="7">
        <v>1634</v>
      </c>
      <c r="H889" s="7">
        <v>1721</v>
      </c>
      <c r="I889" s="39">
        <v>1785</v>
      </c>
      <c r="J889" s="39">
        <v>2772</v>
      </c>
      <c r="K889" s="39">
        <v>1878</v>
      </c>
      <c r="L889" s="39">
        <v>859</v>
      </c>
      <c r="M889" s="39">
        <v>808</v>
      </c>
      <c r="N889" s="39">
        <v>747</v>
      </c>
      <c r="O889" s="39">
        <v>692</v>
      </c>
      <c r="P889" s="39">
        <v>812</v>
      </c>
      <c r="Q889" s="39">
        <v>797</v>
      </c>
      <c r="R889" s="39">
        <v>758</v>
      </c>
      <c r="S889" s="39">
        <v>677</v>
      </c>
      <c r="T889" s="39">
        <v>684</v>
      </c>
      <c r="U889" s="39">
        <v>705</v>
      </c>
      <c r="V889" s="39">
        <v>845</v>
      </c>
      <c r="W889" s="39">
        <v>778</v>
      </c>
      <c r="X889" s="39">
        <v>798</v>
      </c>
    </row>
    <row r="890" spans="1:24" x14ac:dyDescent="0.2">
      <c r="A890" s="5" t="s">
        <v>80</v>
      </c>
      <c r="B890" s="5" t="s">
        <v>64</v>
      </c>
      <c r="C890" s="7">
        <f>2749</f>
        <v>2749</v>
      </c>
      <c r="D890" s="1">
        <f>1848</f>
        <v>1848</v>
      </c>
      <c r="E890" s="7">
        <v>1961</v>
      </c>
      <c r="F890" s="7"/>
      <c r="G890" s="7">
        <v>2020</v>
      </c>
      <c r="H890" s="7">
        <v>1752</v>
      </c>
      <c r="I890" s="39">
        <v>3522</v>
      </c>
      <c r="J890" s="39">
        <v>3140</v>
      </c>
      <c r="K890" s="39">
        <v>3475</v>
      </c>
      <c r="L890" s="39">
        <v>435</v>
      </c>
      <c r="M890" s="39">
        <v>409</v>
      </c>
      <c r="N890" s="39">
        <v>370</v>
      </c>
      <c r="O890" s="39">
        <v>452</v>
      </c>
      <c r="P890" s="39">
        <v>436</v>
      </c>
      <c r="Q890" s="39">
        <v>446</v>
      </c>
      <c r="R890" s="39">
        <v>356</v>
      </c>
      <c r="S890" s="39">
        <v>341</v>
      </c>
      <c r="T890" s="39">
        <v>443</v>
      </c>
      <c r="U890" s="39">
        <v>434</v>
      </c>
      <c r="V890" s="39">
        <v>396</v>
      </c>
      <c r="W890" s="39">
        <v>410</v>
      </c>
      <c r="X890" s="39">
        <v>381</v>
      </c>
    </row>
    <row r="891" spans="1:24" x14ac:dyDescent="0.2">
      <c r="A891" s="5" t="s">
        <v>82</v>
      </c>
      <c r="B891" s="5" t="s">
        <v>56</v>
      </c>
      <c r="C891" s="5"/>
      <c r="D891" s="2"/>
      <c r="E891" s="5"/>
      <c r="F891" s="5"/>
      <c r="G891" s="7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</row>
    <row r="892" spans="1:24" x14ac:dyDescent="0.2">
      <c r="A892" s="5"/>
      <c r="B892" s="5" t="s">
        <v>57</v>
      </c>
      <c r="C892" s="22">
        <f>19.7</f>
        <v>19.7</v>
      </c>
      <c r="D892" s="2">
        <f>20.4</f>
        <v>20.399999999999999</v>
      </c>
      <c r="E892" s="5">
        <v>19.5</v>
      </c>
      <c r="F892" s="5"/>
      <c r="G892" s="24">
        <v>18.899999999999999</v>
      </c>
      <c r="H892" s="7">
        <v>18.7</v>
      </c>
      <c r="I892" s="40">
        <v>16.8</v>
      </c>
      <c r="J892" s="40">
        <v>16.5</v>
      </c>
      <c r="K892" s="40">
        <v>15.9</v>
      </c>
      <c r="L892" s="40">
        <v>6.4</v>
      </c>
      <c r="M892" s="40">
        <v>6.3</v>
      </c>
      <c r="N892" s="40">
        <v>6.3</v>
      </c>
      <c r="O892" s="40">
        <v>7.1</v>
      </c>
      <c r="P892" s="40">
        <f>((452+436)/2)/812*12</f>
        <v>6.5615763546798025</v>
      </c>
      <c r="Q892" s="40">
        <f>((436+446)/2)/797*12</f>
        <v>6.6398996235884562</v>
      </c>
      <c r="R892" s="40">
        <f>((446+356)/2)/758*12</f>
        <v>6.3482849604221627</v>
      </c>
      <c r="S892" s="40">
        <v>7</v>
      </c>
      <c r="T892" s="40">
        <v>6.8</v>
      </c>
      <c r="U892" s="40">
        <v>6.6</v>
      </c>
      <c r="V892" s="40">
        <v>6.6</v>
      </c>
      <c r="W892" s="40">
        <v>6.3</v>
      </c>
      <c r="X892" s="40">
        <v>6.1</v>
      </c>
    </row>
    <row r="893" spans="1:24" x14ac:dyDescent="0.2">
      <c r="A893" s="5"/>
      <c r="B893" s="5"/>
      <c r="C893" s="5"/>
      <c r="D893" s="2"/>
      <c r="E893" s="5"/>
      <c r="F893" s="5"/>
      <c r="G893" s="7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</row>
    <row r="894" spans="1:24" x14ac:dyDescent="0.2">
      <c r="A894" s="6" t="s">
        <v>89</v>
      </c>
      <c r="B894" s="6" t="s">
        <v>314</v>
      </c>
      <c r="C894" s="5"/>
      <c r="D894" s="2"/>
      <c r="E894" s="5"/>
      <c r="F894" s="5"/>
      <c r="G894" s="7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</row>
    <row r="895" spans="1:24" x14ac:dyDescent="0.2">
      <c r="A895" s="5" t="s">
        <v>4</v>
      </c>
      <c r="B895" s="5" t="s">
        <v>61</v>
      </c>
      <c r="C895" s="5">
        <f>164</f>
        <v>164</v>
      </c>
      <c r="D895" s="2">
        <f>216</f>
        <v>216</v>
      </c>
      <c r="E895" s="5">
        <v>223</v>
      </c>
      <c r="F895" s="5"/>
      <c r="G895" s="7">
        <v>243</v>
      </c>
      <c r="H895" s="7">
        <v>243</v>
      </c>
      <c r="I895" s="39">
        <v>331</v>
      </c>
      <c r="J895" s="39">
        <v>297</v>
      </c>
      <c r="K895" s="39">
        <v>364</v>
      </c>
      <c r="L895" s="39">
        <v>89</v>
      </c>
      <c r="M895" s="39">
        <v>61</v>
      </c>
      <c r="N895" s="39">
        <v>62</v>
      </c>
      <c r="O895" s="39">
        <v>83</v>
      </c>
      <c r="P895" s="39">
        <v>52</v>
      </c>
      <c r="Q895" s="39">
        <v>60</v>
      </c>
      <c r="R895" s="39">
        <v>122</v>
      </c>
      <c r="S895" s="39">
        <v>107</v>
      </c>
      <c r="T895" s="39">
        <v>104</v>
      </c>
      <c r="U895" s="39">
        <v>91</v>
      </c>
      <c r="V895" s="39">
        <v>104</v>
      </c>
      <c r="W895" s="39">
        <v>106</v>
      </c>
      <c r="X895" s="39">
        <v>133</v>
      </c>
    </row>
    <row r="896" spans="1:24" x14ac:dyDescent="0.2">
      <c r="A896" s="5" t="s">
        <v>59</v>
      </c>
      <c r="B896" s="5" t="s">
        <v>9</v>
      </c>
      <c r="C896" s="5">
        <f>170</f>
        <v>170</v>
      </c>
      <c r="D896" s="2">
        <f>187</f>
        <v>187</v>
      </c>
      <c r="E896" s="5">
        <v>219</v>
      </c>
      <c r="F896" s="5"/>
      <c r="G896" s="7">
        <v>225</v>
      </c>
      <c r="H896" s="7">
        <v>249</v>
      </c>
      <c r="I896" s="39">
        <v>321</v>
      </c>
      <c r="J896" s="39">
        <v>309</v>
      </c>
      <c r="K896" s="39">
        <v>314</v>
      </c>
      <c r="L896" s="39">
        <v>77</v>
      </c>
      <c r="M896" s="39">
        <v>77</v>
      </c>
      <c r="N896" s="39">
        <v>63</v>
      </c>
      <c r="O896" s="39">
        <v>72</v>
      </c>
      <c r="P896" s="39">
        <v>82</v>
      </c>
      <c r="Q896" s="39">
        <v>52</v>
      </c>
      <c r="R896" s="39">
        <v>103</v>
      </c>
      <c r="S896" s="39">
        <v>98</v>
      </c>
      <c r="T896" s="39">
        <v>106</v>
      </c>
      <c r="U896" s="39">
        <v>85</v>
      </c>
      <c r="V896" s="39">
        <v>104</v>
      </c>
      <c r="W896" s="39">
        <v>81</v>
      </c>
      <c r="X896" s="39">
        <v>120</v>
      </c>
    </row>
    <row r="897" spans="1:24" x14ac:dyDescent="0.2">
      <c r="A897" s="5" t="s">
        <v>80</v>
      </c>
      <c r="B897" s="5" t="s">
        <v>64</v>
      </c>
      <c r="C897" s="5">
        <f>75</f>
        <v>75</v>
      </c>
      <c r="D897" s="2">
        <f>81</f>
        <v>81</v>
      </c>
      <c r="E897" s="5">
        <v>85</v>
      </c>
      <c r="F897" s="5"/>
      <c r="G897" s="7">
        <v>107</v>
      </c>
      <c r="H897" s="7">
        <v>101</v>
      </c>
      <c r="I897" s="39">
        <v>111</v>
      </c>
      <c r="J897" s="39">
        <v>99</v>
      </c>
      <c r="K897" s="39">
        <v>149</v>
      </c>
      <c r="L897" s="39">
        <v>45</v>
      </c>
      <c r="M897" s="39">
        <v>29</v>
      </c>
      <c r="N897" s="39">
        <v>28</v>
      </c>
      <c r="O897" s="39">
        <v>39</v>
      </c>
      <c r="P897" s="39">
        <v>9</v>
      </c>
      <c r="Q897" s="39">
        <v>17</v>
      </c>
      <c r="R897" s="39">
        <v>36</v>
      </c>
      <c r="S897" s="39">
        <v>54</v>
      </c>
      <c r="T897" s="39">
        <v>50</v>
      </c>
      <c r="U897" s="39">
        <v>53</v>
      </c>
      <c r="V897" s="39">
        <v>50</v>
      </c>
      <c r="W897" s="39">
        <v>75</v>
      </c>
      <c r="X897" s="39">
        <v>88</v>
      </c>
    </row>
    <row r="898" spans="1:24" x14ac:dyDescent="0.2">
      <c r="A898" s="5" t="s">
        <v>82</v>
      </c>
      <c r="B898" s="5" t="s">
        <v>56</v>
      </c>
      <c r="C898" s="5"/>
      <c r="D898" s="2"/>
      <c r="E898" s="5"/>
      <c r="F898" s="5"/>
      <c r="G898" s="7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</row>
    <row r="899" spans="1:24" x14ac:dyDescent="0.2">
      <c r="A899" s="5"/>
      <c r="B899" s="5" t="s">
        <v>57</v>
      </c>
      <c r="C899" s="22">
        <f>4.8</f>
        <v>4.8</v>
      </c>
      <c r="D899" s="2">
        <f>3.6</f>
        <v>3.6</v>
      </c>
      <c r="E899" s="5">
        <v>4.5</v>
      </c>
      <c r="F899" s="5"/>
      <c r="G899" s="24">
        <v>4.0999999999999996</v>
      </c>
      <c r="H899" s="24">
        <v>4.5</v>
      </c>
      <c r="I899" s="40">
        <v>7.5</v>
      </c>
      <c r="J899" s="40">
        <v>4.5999999999999996</v>
      </c>
      <c r="K899" s="40">
        <v>4.3</v>
      </c>
      <c r="L899" s="40">
        <v>6.1</v>
      </c>
      <c r="M899" s="40">
        <v>5.8</v>
      </c>
      <c r="N899" s="40">
        <v>5.4</v>
      </c>
      <c r="O899" s="40">
        <v>5.6</v>
      </c>
      <c r="P899" s="40">
        <f>((39+9)/2)/82*12</f>
        <v>3.5121951219512191</v>
      </c>
      <c r="Q899" s="40">
        <f>((9+17)/2)/52*12</f>
        <v>3</v>
      </c>
      <c r="R899" s="40">
        <f>((17+36)/2)/103*12</f>
        <v>3.087378640776699</v>
      </c>
      <c r="S899" s="40">
        <v>4.9000000000000004</v>
      </c>
      <c r="T899" s="40">
        <v>5.4</v>
      </c>
      <c r="U899" s="40">
        <v>5.6</v>
      </c>
      <c r="V899" s="40">
        <v>5.2</v>
      </c>
      <c r="W899" s="40">
        <v>5.5</v>
      </c>
      <c r="X899" s="40">
        <v>5.5</v>
      </c>
    </row>
    <row r="900" spans="1:24" x14ac:dyDescent="0.2">
      <c r="A900" s="5"/>
      <c r="B900" s="5"/>
      <c r="C900" s="5"/>
      <c r="D900" s="2"/>
      <c r="E900" s="5"/>
      <c r="F900" s="5"/>
      <c r="G900" s="7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</row>
    <row r="901" spans="1:24" x14ac:dyDescent="0.2">
      <c r="A901" s="6" t="s">
        <v>121</v>
      </c>
      <c r="B901" s="6" t="s">
        <v>315</v>
      </c>
      <c r="C901" s="5"/>
      <c r="D901" s="2"/>
      <c r="E901" s="5"/>
      <c r="F901" s="5"/>
      <c r="G901" s="7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</row>
    <row r="902" spans="1:24" x14ac:dyDescent="0.2">
      <c r="A902" s="5" t="s">
        <v>4</v>
      </c>
      <c r="B902" s="5" t="s">
        <v>61</v>
      </c>
      <c r="C902" s="5">
        <f>164</f>
        <v>164</v>
      </c>
      <c r="D902" s="2">
        <f>216</f>
        <v>216</v>
      </c>
      <c r="E902" s="5">
        <v>223</v>
      </c>
      <c r="F902" s="5"/>
      <c r="G902" s="7">
        <v>243</v>
      </c>
      <c r="H902" s="7">
        <v>243</v>
      </c>
      <c r="I902" s="39">
        <v>331</v>
      </c>
      <c r="J902" s="39">
        <v>297</v>
      </c>
      <c r="K902" s="39">
        <v>364</v>
      </c>
      <c r="L902" s="39">
        <v>197</v>
      </c>
      <c r="M902" s="39">
        <v>198</v>
      </c>
      <c r="N902" s="39">
        <v>199</v>
      </c>
      <c r="O902" s="39">
        <v>170</v>
      </c>
      <c r="P902" s="39">
        <v>243</v>
      </c>
      <c r="Q902" s="39">
        <v>201</v>
      </c>
      <c r="R902" s="39">
        <v>196</v>
      </c>
      <c r="S902" s="39">
        <v>203</v>
      </c>
      <c r="T902" s="39">
        <v>204</v>
      </c>
      <c r="U902" s="39">
        <v>180</v>
      </c>
      <c r="V902" s="39">
        <v>203</v>
      </c>
      <c r="W902" s="39">
        <v>243</v>
      </c>
      <c r="X902" s="39">
        <v>263</v>
      </c>
    </row>
    <row r="903" spans="1:24" x14ac:dyDescent="0.2">
      <c r="A903" s="5" t="s">
        <v>59</v>
      </c>
      <c r="B903" s="5" t="s">
        <v>9</v>
      </c>
      <c r="C903" s="5">
        <f>170</f>
        <v>170</v>
      </c>
      <c r="D903" s="2">
        <f>187</f>
        <v>187</v>
      </c>
      <c r="E903" s="5">
        <v>219</v>
      </c>
      <c r="F903" s="5"/>
      <c r="G903" s="7">
        <v>225</v>
      </c>
      <c r="H903" s="7">
        <v>249</v>
      </c>
      <c r="I903" s="39">
        <v>321</v>
      </c>
      <c r="J903" s="39">
        <v>309</v>
      </c>
      <c r="K903" s="39">
        <v>314</v>
      </c>
      <c r="L903" s="39">
        <v>206</v>
      </c>
      <c r="M903" s="39">
        <v>205</v>
      </c>
      <c r="N903" s="39">
        <v>199</v>
      </c>
      <c r="O903" s="39">
        <v>177</v>
      </c>
      <c r="P903" s="39">
        <v>221</v>
      </c>
      <c r="Q903" s="39">
        <v>205</v>
      </c>
      <c r="R903" s="39">
        <v>187</v>
      </c>
      <c r="S903" s="39">
        <v>187</v>
      </c>
      <c r="T903" s="39">
        <v>238</v>
      </c>
      <c r="U903" s="39">
        <v>179</v>
      </c>
      <c r="V903" s="39">
        <v>195</v>
      </c>
      <c r="W903" s="39">
        <v>248</v>
      </c>
      <c r="X903" s="39">
        <v>262</v>
      </c>
    </row>
    <row r="904" spans="1:24" x14ac:dyDescent="0.2">
      <c r="A904" s="5" t="s">
        <v>80</v>
      </c>
      <c r="B904" s="5" t="s">
        <v>64</v>
      </c>
      <c r="C904" s="5">
        <f>75</f>
        <v>75</v>
      </c>
      <c r="D904" s="2">
        <f>81</f>
        <v>81</v>
      </c>
      <c r="E904" s="5">
        <v>85</v>
      </c>
      <c r="F904" s="5"/>
      <c r="G904" s="7">
        <v>107</v>
      </c>
      <c r="H904" s="7">
        <v>101</v>
      </c>
      <c r="I904" s="39">
        <v>111</v>
      </c>
      <c r="J904" s="39">
        <v>99</v>
      </c>
      <c r="K904" s="39">
        <v>149</v>
      </c>
      <c r="L904" s="39">
        <v>39</v>
      </c>
      <c r="M904" s="39">
        <v>32</v>
      </c>
      <c r="N904" s="39">
        <v>32</v>
      </c>
      <c r="O904" s="39">
        <v>25</v>
      </c>
      <c r="P904" s="39">
        <v>47</v>
      </c>
      <c r="Q904" s="39">
        <v>43</v>
      </c>
      <c r="R904" s="39">
        <v>52</v>
      </c>
      <c r="S904" s="39">
        <v>68</v>
      </c>
      <c r="T904" s="39" t="s">
        <v>605</v>
      </c>
      <c r="U904" s="39">
        <v>27</v>
      </c>
      <c r="V904" s="39">
        <v>36</v>
      </c>
      <c r="W904" s="39">
        <v>31</v>
      </c>
      <c r="X904" s="39">
        <v>32</v>
      </c>
    </row>
    <row r="905" spans="1:24" x14ac:dyDescent="0.2">
      <c r="A905" s="5" t="s">
        <v>82</v>
      </c>
      <c r="B905" s="5" t="s">
        <v>56</v>
      </c>
      <c r="C905" s="5"/>
      <c r="D905" s="2"/>
      <c r="E905" s="5"/>
      <c r="F905" s="5"/>
      <c r="G905" s="7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</row>
    <row r="906" spans="1:24" x14ac:dyDescent="0.2">
      <c r="A906" s="5"/>
      <c r="B906" s="5" t="s">
        <v>57</v>
      </c>
      <c r="C906" s="22">
        <f>4.8</f>
        <v>4.8</v>
      </c>
      <c r="D906" s="2">
        <f>3.6</f>
        <v>3.6</v>
      </c>
      <c r="E906" s="5">
        <v>4.5</v>
      </c>
      <c r="F906" s="5"/>
      <c r="G906" s="24">
        <v>4.0999999999999996</v>
      </c>
      <c r="H906" s="24">
        <v>4.5</v>
      </c>
      <c r="I906" s="40">
        <v>7.5</v>
      </c>
      <c r="J906" s="40">
        <v>4.5999999999999996</v>
      </c>
      <c r="K906" s="40">
        <v>4.3</v>
      </c>
      <c r="L906" s="40">
        <v>2.5</v>
      </c>
      <c r="M906" s="40">
        <v>2.1</v>
      </c>
      <c r="N906" s="40">
        <v>1.9</v>
      </c>
      <c r="O906" s="40">
        <v>1.9</v>
      </c>
      <c r="P906" s="40">
        <f>((25+47)/2)/221*12</f>
        <v>1.9547511312217196</v>
      </c>
      <c r="Q906" s="40">
        <f>((47+43)/2)/205*12</f>
        <v>2.6341463414634148</v>
      </c>
      <c r="R906" s="40">
        <f>((43+52)/2)/187*12</f>
        <v>3.0481283422459895</v>
      </c>
      <c r="S906" s="40">
        <f>((52+68)/2)/187*12</f>
        <v>3.8502673796791447</v>
      </c>
      <c r="T906" s="40">
        <f>((68+25)/2)/238*12</f>
        <v>2.3445378151260505</v>
      </c>
      <c r="U906" s="40">
        <f>((25+27)/2)/179*12</f>
        <v>1.7430167597765365</v>
      </c>
      <c r="V906" s="40">
        <f>((27+36)/2)/195*12</f>
        <v>1.9384615384615387</v>
      </c>
      <c r="W906" s="40">
        <f>((36+31)/2)/248*12</f>
        <v>1.6209677419354838</v>
      </c>
      <c r="X906" s="40">
        <f>((31+32)/2)/262*12</f>
        <v>1.4427480916030535</v>
      </c>
    </row>
    <row r="907" spans="1:24" x14ac:dyDescent="0.2">
      <c r="A907" s="5"/>
      <c r="B907" s="5"/>
      <c r="C907" s="5"/>
      <c r="D907" s="2"/>
      <c r="E907" s="5"/>
      <c r="F907" s="5"/>
      <c r="G907" s="7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</row>
    <row r="908" spans="1:24" x14ac:dyDescent="0.2">
      <c r="A908" s="5"/>
      <c r="B908" s="5"/>
      <c r="C908" s="5"/>
      <c r="D908" s="2"/>
      <c r="E908" s="5"/>
      <c r="F908" s="5"/>
      <c r="G908" s="7"/>
    </row>
    <row r="909" spans="1:24" x14ac:dyDescent="0.2">
      <c r="A909" s="5"/>
      <c r="B909" s="6" t="s">
        <v>316</v>
      </c>
      <c r="C909" s="5"/>
      <c r="D909" s="2"/>
      <c r="E909" s="5"/>
      <c r="F909" s="5"/>
      <c r="G909" s="7"/>
    </row>
    <row r="910" spans="1:24" x14ac:dyDescent="0.2">
      <c r="A910" s="6" t="s">
        <v>2</v>
      </c>
      <c r="B910" s="6" t="s">
        <v>232</v>
      </c>
      <c r="C910" s="5"/>
      <c r="D910" s="2"/>
      <c r="E910" s="5"/>
      <c r="F910" s="5"/>
      <c r="G910" s="7"/>
    </row>
    <row r="911" spans="1:24" x14ac:dyDescent="0.2">
      <c r="A911" s="5" t="s">
        <v>4</v>
      </c>
      <c r="B911" s="5" t="s">
        <v>325</v>
      </c>
      <c r="C911" s="7">
        <f>1627</f>
        <v>1627</v>
      </c>
      <c r="D911" s="1">
        <f>1600</f>
        <v>1600</v>
      </c>
      <c r="E911" s="7">
        <v>1641</v>
      </c>
      <c r="F911" s="7"/>
      <c r="G911" s="7">
        <v>1686</v>
      </c>
      <c r="H911" s="7">
        <v>1453</v>
      </c>
      <c r="I911" s="39">
        <v>3555</v>
      </c>
      <c r="J911" s="39">
        <v>2390</v>
      </c>
      <c r="K911" s="39">
        <v>2213</v>
      </c>
      <c r="L911" s="39">
        <v>7575</v>
      </c>
      <c r="M911" s="39">
        <v>6848</v>
      </c>
      <c r="N911" s="39">
        <v>7162</v>
      </c>
      <c r="O911" s="39">
        <v>7602</v>
      </c>
      <c r="P911" s="51">
        <v>7811</v>
      </c>
      <c r="Q911" s="51">
        <v>7596</v>
      </c>
      <c r="R911" s="51">
        <v>7470</v>
      </c>
      <c r="S911" s="51">
        <v>7602</v>
      </c>
      <c r="T911" s="51">
        <v>7262</v>
      </c>
      <c r="U911" s="51">
        <v>7321</v>
      </c>
      <c r="V911" s="51">
        <v>8445</v>
      </c>
      <c r="W911" s="51">
        <v>7920</v>
      </c>
      <c r="X911" s="51">
        <v>8370</v>
      </c>
    </row>
    <row r="912" spans="1:24" x14ac:dyDescent="0.2">
      <c r="A912" s="5" t="s">
        <v>59</v>
      </c>
      <c r="B912" s="5" t="s">
        <v>326</v>
      </c>
      <c r="C912" s="7">
        <f>1899</f>
        <v>1899</v>
      </c>
      <c r="D912" s="1">
        <f>1730</f>
        <v>1730</v>
      </c>
      <c r="E912" s="7">
        <v>1528</v>
      </c>
      <c r="F912" s="7"/>
      <c r="G912" s="7">
        <v>1634</v>
      </c>
      <c r="H912" s="7">
        <v>1721</v>
      </c>
      <c r="I912" s="39">
        <v>1785</v>
      </c>
      <c r="J912" s="39">
        <v>2772</v>
      </c>
      <c r="K912" s="39">
        <v>1878</v>
      </c>
      <c r="L912" s="39">
        <v>5743</v>
      </c>
      <c r="M912" s="39">
        <v>7419</v>
      </c>
      <c r="N912" s="39">
        <v>8628</v>
      </c>
      <c r="O912" s="39">
        <v>8348</v>
      </c>
      <c r="P912" s="51">
        <v>7916</v>
      </c>
      <c r="Q912" s="51">
        <v>8483</v>
      </c>
      <c r="R912" s="51">
        <v>8094</v>
      </c>
      <c r="S912" s="51">
        <v>8969</v>
      </c>
      <c r="T912" s="51">
        <v>7822</v>
      </c>
      <c r="U912" s="51">
        <v>7111</v>
      </c>
      <c r="V912" s="51">
        <v>7579</v>
      </c>
      <c r="W912" s="51">
        <v>7927</v>
      </c>
      <c r="X912" s="51">
        <v>7173</v>
      </c>
    </row>
    <row r="913" spans="1:24" x14ac:dyDescent="0.2">
      <c r="A913" s="5" t="s">
        <v>80</v>
      </c>
      <c r="B913" s="5" t="s">
        <v>64</v>
      </c>
      <c r="C913" s="7">
        <f>2749</f>
        <v>2749</v>
      </c>
      <c r="D913" s="1">
        <f>1848</f>
        <v>1848</v>
      </c>
      <c r="E913" s="7">
        <v>1961</v>
      </c>
      <c r="F913" s="7"/>
      <c r="G913" s="7">
        <v>2020</v>
      </c>
      <c r="H913" s="7">
        <v>1752</v>
      </c>
      <c r="I913" s="39">
        <v>3522</v>
      </c>
      <c r="J913" s="39">
        <v>3140</v>
      </c>
      <c r="K913" s="39">
        <v>3475</v>
      </c>
      <c r="L913" s="39">
        <v>15296</v>
      </c>
      <c r="M913" s="39">
        <v>14725</v>
      </c>
      <c r="N913" s="39">
        <v>13259</v>
      </c>
      <c r="O913" s="39">
        <v>13078</v>
      </c>
      <c r="P913" s="51">
        <v>12973</v>
      </c>
      <c r="Q913" s="51">
        <v>12074</v>
      </c>
      <c r="R913" s="51">
        <v>11450</v>
      </c>
      <c r="S913" s="51">
        <v>10080</v>
      </c>
      <c r="T913" s="51">
        <v>9516</v>
      </c>
      <c r="U913" s="51">
        <v>9723</v>
      </c>
      <c r="V913" s="51">
        <v>10573</v>
      </c>
      <c r="W913" s="51">
        <v>10566</v>
      </c>
      <c r="X913" s="51">
        <v>11763</v>
      </c>
    </row>
    <row r="914" spans="1:24" x14ac:dyDescent="0.2">
      <c r="A914" s="5" t="s">
        <v>82</v>
      </c>
      <c r="B914" s="5" t="s">
        <v>56</v>
      </c>
      <c r="C914" s="5"/>
      <c r="D914" s="2"/>
      <c r="E914" s="5"/>
      <c r="F914" s="5"/>
      <c r="G914" s="7"/>
      <c r="I914" s="39"/>
      <c r="J914" s="39"/>
      <c r="K914" s="39"/>
      <c r="L914" s="39"/>
      <c r="M914" s="39"/>
      <c r="N914" s="39"/>
      <c r="O914" s="39"/>
      <c r="P914" s="51"/>
      <c r="Q914" s="51"/>
      <c r="R914" s="51"/>
      <c r="S914" s="51"/>
      <c r="T914" s="51"/>
      <c r="U914" s="51"/>
      <c r="V914" s="51"/>
      <c r="W914" s="51"/>
      <c r="X914" s="51"/>
    </row>
    <row r="915" spans="1:24" x14ac:dyDescent="0.2">
      <c r="A915" s="5"/>
      <c r="B915" s="5" t="s">
        <v>57</v>
      </c>
      <c r="C915" s="22">
        <f>19.7</f>
        <v>19.7</v>
      </c>
      <c r="D915" s="2">
        <f>20.4</f>
        <v>20.399999999999999</v>
      </c>
      <c r="E915" s="5">
        <v>19.5</v>
      </c>
      <c r="F915" s="5"/>
      <c r="G915" s="24">
        <v>18.899999999999999</v>
      </c>
      <c r="H915" s="7">
        <v>18.7</v>
      </c>
      <c r="I915" s="40">
        <v>16.8</v>
      </c>
      <c r="J915" s="40">
        <v>16.5</v>
      </c>
      <c r="K915" s="40">
        <v>15.9</v>
      </c>
      <c r="L915" s="40">
        <v>30</v>
      </c>
      <c r="M915" s="49">
        <v>22.5</v>
      </c>
      <c r="N915" s="49">
        <v>17.7</v>
      </c>
      <c r="O915" s="49">
        <v>17.899999999999999</v>
      </c>
      <c r="P915" s="52">
        <v>18.100000000000001</v>
      </c>
      <c r="Q915" s="52">
        <v>15</v>
      </c>
      <c r="R915" s="52">
        <v>16.8</v>
      </c>
      <c r="S915" s="52">
        <v>16.7</v>
      </c>
      <c r="T915" s="52">
        <v>16.600000000000001</v>
      </c>
      <c r="U915" s="52">
        <v>16.899999999999999</v>
      </c>
      <c r="V915" s="52">
        <v>15.2</v>
      </c>
      <c r="W915" s="52">
        <v>15.8</v>
      </c>
      <c r="X915" s="52">
        <v>15.6</v>
      </c>
    </row>
    <row r="916" spans="1:24" x14ac:dyDescent="0.2">
      <c r="A916" s="5"/>
      <c r="B916" s="5"/>
      <c r="C916" s="5"/>
      <c r="D916" s="2"/>
      <c r="E916" s="5"/>
      <c r="F916" s="5"/>
      <c r="G916" s="7"/>
      <c r="I916" s="39"/>
      <c r="J916" s="39"/>
      <c r="K916" s="39"/>
      <c r="L916" s="39"/>
      <c r="M916" s="39"/>
      <c r="N916" s="39"/>
      <c r="O916" s="39"/>
      <c r="P916" s="51"/>
      <c r="Q916" s="51"/>
      <c r="R916" s="51"/>
      <c r="S916" s="51"/>
      <c r="T916" s="51"/>
      <c r="U916" s="51"/>
      <c r="V916" s="51"/>
      <c r="W916" s="51"/>
      <c r="X916" s="51"/>
    </row>
    <row r="917" spans="1:24" x14ac:dyDescent="0.2">
      <c r="A917" s="6" t="s">
        <v>89</v>
      </c>
      <c r="B917" s="6" t="s">
        <v>317</v>
      </c>
      <c r="C917" s="5"/>
      <c r="D917" s="2"/>
      <c r="E917" s="5"/>
      <c r="F917" s="5"/>
      <c r="G917" s="7"/>
      <c r="I917" s="39"/>
      <c r="J917" s="39"/>
      <c r="K917" s="39"/>
      <c r="L917" s="39"/>
      <c r="M917" s="39"/>
      <c r="N917" s="39"/>
      <c r="O917" s="39"/>
      <c r="P917" s="51"/>
      <c r="Q917" s="51"/>
      <c r="R917" s="51"/>
      <c r="S917" s="51"/>
      <c r="T917" s="51"/>
      <c r="U917" s="51"/>
      <c r="V917" s="51"/>
      <c r="W917" s="51"/>
      <c r="X917" s="51"/>
    </row>
    <row r="918" spans="1:24" x14ac:dyDescent="0.2">
      <c r="A918" s="5" t="s">
        <v>4</v>
      </c>
      <c r="B918" s="5" t="s">
        <v>325</v>
      </c>
      <c r="C918" s="5">
        <f>164</f>
        <v>164</v>
      </c>
      <c r="D918" s="2">
        <f>216</f>
        <v>216</v>
      </c>
      <c r="E918" s="5">
        <v>223</v>
      </c>
      <c r="F918" s="5"/>
      <c r="G918" s="7">
        <v>243</v>
      </c>
      <c r="H918" s="7">
        <v>243</v>
      </c>
      <c r="I918" s="39">
        <v>331</v>
      </c>
      <c r="J918" s="39">
        <v>297</v>
      </c>
      <c r="K918" s="39">
        <v>364</v>
      </c>
      <c r="L918" s="39">
        <v>283</v>
      </c>
      <c r="M918" s="39">
        <v>443</v>
      </c>
      <c r="N918" s="39">
        <v>406</v>
      </c>
      <c r="O918" s="39">
        <v>426</v>
      </c>
      <c r="P918" s="51">
        <v>400</v>
      </c>
      <c r="Q918" s="51">
        <v>1747</v>
      </c>
      <c r="R918" s="51">
        <v>1955</v>
      </c>
      <c r="S918" s="51">
        <v>1808</v>
      </c>
      <c r="T918" s="51">
        <v>1996</v>
      </c>
      <c r="U918" s="51">
        <v>2383</v>
      </c>
      <c r="V918" s="51">
        <v>2623</v>
      </c>
      <c r="W918" s="51">
        <v>2366</v>
      </c>
      <c r="X918" s="51">
        <v>2351</v>
      </c>
    </row>
    <row r="919" spans="1:24" x14ac:dyDescent="0.2">
      <c r="A919" s="5" t="s">
        <v>59</v>
      </c>
      <c r="B919" s="5" t="s">
        <v>326</v>
      </c>
      <c r="C919" s="5">
        <f>170</f>
        <v>170</v>
      </c>
      <c r="D919" s="2">
        <f>187</f>
        <v>187</v>
      </c>
      <c r="E919" s="5">
        <v>219</v>
      </c>
      <c r="F919" s="5"/>
      <c r="G919" s="7">
        <v>225</v>
      </c>
      <c r="H919" s="7">
        <v>249</v>
      </c>
      <c r="I919" s="39">
        <v>321</v>
      </c>
      <c r="J919" s="39">
        <v>309</v>
      </c>
      <c r="K919" s="39">
        <v>314</v>
      </c>
      <c r="L919" s="39">
        <v>264</v>
      </c>
      <c r="M919" s="45">
        <v>468</v>
      </c>
      <c r="N919" s="39">
        <v>416</v>
      </c>
      <c r="O919" s="39">
        <v>443</v>
      </c>
      <c r="P919" s="51">
        <v>399</v>
      </c>
      <c r="Q919" s="51">
        <v>1701</v>
      </c>
      <c r="R919" s="51">
        <v>1964</v>
      </c>
      <c r="S919" s="51">
        <v>1805</v>
      </c>
      <c r="T919" s="51">
        <v>1930</v>
      </c>
      <c r="U919" s="51">
        <v>2361</v>
      </c>
      <c r="V919" s="51">
        <v>2665</v>
      </c>
      <c r="W919" s="51">
        <v>2371</v>
      </c>
      <c r="X919" s="51">
        <v>2317</v>
      </c>
    </row>
    <row r="920" spans="1:24" x14ac:dyDescent="0.2">
      <c r="A920" s="5" t="s">
        <v>80</v>
      </c>
      <c r="B920" s="5" t="s">
        <v>64</v>
      </c>
      <c r="C920" s="5">
        <f>75</f>
        <v>75</v>
      </c>
      <c r="D920" s="2">
        <f>81</f>
        <v>81</v>
      </c>
      <c r="E920" s="5">
        <v>85</v>
      </c>
      <c r="F920" s="5"/>
      <c r="G920" s="7">
        <v>107</v>
      </c>
      <c r="H920" s="7">
        <v>101</v>
      </c>
      <c r="I920" s="39">
        <v>111</v>
      </c>
      <c r="J920" s="39">
        <v>99</v>
      </c>
      <c r="K920" s="39">
        <v>149</v>
      </c>
      <c r="L920" s="39">
        <v>96</v>
      </c>
      <c r="M920" s="45">
        <v>71</v>
      </c>
      <c r="N920" s="39">
        <v>61</v>
      </c>
      <c r="O920" s="39">
        <v>108</v>
      </c>
      <c r="P920" s="51">
        <v>109</v>
      </c>
      <c r="Q920" s="51">
        <v>151</v>
      </c>
      <c r="R920" s="51">
        <v>142</v>
      </c>
      <c r="S920" s="51">
        <v>143</v>
      </c>
      <c r="T920" s="51">
        <v>209</v>
      </c>
      <c r="U920" s="51">
        <v>231</v>
      </c>
      <c r="V920" s="51">
        <v>189</v>
      </c>
      <c r="W920" s="51">
        <v>184</v>
      </c>
      <c r="X920" s="51">
        <v>218</v>
      </c>
    </row>
    <row r="921" spans="1:24" x14ac:dyDescent="0.2">
      <c r="A921" s="5" t="s">
        <v>82</v>
      </c>
      <c r="B921" s="5" t="s">
        <v>56</v>
      </c>
      <c r="C921" s="5"/>
      <c r="D921" s="2"/>
      <c r="E921" s="5"/>
      <c r="F921" s="5"/>
      <c r="G921" s="7"/>
      <c r="I921" s="39"/>
      <c r="J921" s="39"/>
      <c r="K921" s="39"/>
      <c r="L921" s="39"/>
      <c r="M921" s="39"/>
      <c r="N921" s="39"/>
      <c r="O921" s="39"/>
      <c r="P921" s="39"/>
      <c r="Q921" s="39"/>
      <c r="R921" s="51"/>
      <c r="S921" s="51"/>
      <c r="T921" s="51"/>
      <c r="U921" s="51"/>
      <c r="V921" s="51"/>
      <c r="W921" s="51"/>
      <c r="X921" s="51"/>
    </row>
    <row r="922" spans="1:24" x14ac:dyDescent="0.2">
      <c r="A922" s="5"/>
      <c r="B922" s="5" t="s">
        <v>57</v>
      </c>
      <c r="C922" s="22">
        <f>4.8</f>
        <v>4.8</v>
      </c>
      <c r="D922" s="2">
        <f>3.6</f>
        <v>3.6</v>
      </c>
      <c r="E922" s="5">
        <v>4.5</v>
      </c>
      <c r="F922" s="5"/>
      <c r="G922" s="24">
        <v>4.0999999999999996</v>
      </c>
      <c r="H922" s="24">
        <v>4.5</v>
      </c>
      <c r="I922" s="40">
        <v>7.5</v>
      </c>
      <c r="J922" s="40">
        <v>4.5999999999999996</v>
      </c>
      <c r="K922" s="40">
        <v>4.3</v>
      </c>
      <c r="L922" s="40">
        <v>3.9</v>
      </c>
      <c r="M922" s="40">
        <v>2.2000000000000002</v>
      </c>
      <c r="N922" s="40">
        <v>1.9</v>
      </c>
      <c r="O922" s="40">
        <v>2.2999999999999998</v>
      </c>
      <c r="P922" s="40">
        <f>((108+110)/2)/398*12</f>
        <v>3.2864321608040203</v>
      </c>
      <c r="Q922" s="40">
        <f>((110+151)/2)/1702*12</f>
        <v>0.92009400705052879</v>
      </c>
      <c r="R922" s="52">
        <v>0.9</v>
      </c>
      <c r="S922" s="52">
        <v>0.9</v>
      </c>
      <c r="T922" s="52">
        <v>0.9</v>
      </c>
      <c r="U922" s="52">
        <v>0.9</v>
      </c>
      <c r="V922" s="52">
        <v>0.9</v>
      </c>
      <c r="W922" s="52">
        <v>1</v>
      </c>
      <c r="X922" s="52">
        <v>1</v>
      </c>
    </row>
    <row r="923" spans="1:24" hidden="1" outlineLevel="1" x14ac:dyDescent="0.2">
      <c r="A923" s="5"/>
      <c r="B923" s="5"/>
      <c r="C923" s="5"/>
      <c r="D923" s="2"/>
      <c r="E923" s="5"/>
      <c r="F923" s="5"/>
      <c r="G923" s="7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</row>
    <row r="924" spans="1:24" hidden="1" outlineLevel="1" x14ac:dyDescent="0.2">
      <c r="A924" s="6" t="s">
        <v>121</v>
      </c>
      <c r="B924" s="6" t="s">
        <v>617</v>
      </c>
      <c r="C924" s="5"/>
      <c r="D924" s="2"/>
      <c r="E924" s="5"/>
      <c r="F924" s="5"/>
      <c r="G924" s="7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</row>
    <row r="925" spans="1:24" hidden="1" outlineLevel="1" x14ac:dyDescent="0.2">
      <c r="A925" s="5" t="s">
        <v>4</v>
      </c>
      <c r="B925" s="5" t="s">
        <v>61</v>
      </c>
      <c r="C925" s="7">
        <f>1627</f>
        <v>1627</v>
      </c>
      <c r="D925" s="1">
        <f>1600</f>
        <v>1600</v>
      </c>
      <c r="E925" s="7">
        <v>1641</v>
      </c>
      <c r="F925" s="7"/>
      <c r="G925" s="7">
        <v>1686</v>
      </c>
      <c r="H925" s="7">
        <v>1453</v>
      </c>
      <c r="I925" s="39">
        <v>3555</v>
      </c>
      <c r="J925" s="39">
        <v>2390</v>
      </c>
      <c r="K925" s="39">
        <v>2213</v>
      </c>
      <c r="L925" s="39">
        <v>643</v>
      </c>
      <c r="M925" s="39">
        <v>774</v>
      </c>
      <c r="N925" s="39">
        <v>811</v>
      </c>
      <c r="O925" s="39">
        <v>704</v>
      </c>
      <c r="P925" s="39">
        <v>842</v>
      </c>
      <c r="Q925" s="39">
        <v>849</v>
      </c>
      <c r="R925" s="39">
        <v>924</v>
      </c>
      <c r="S925" s="39"/>
      <c r="T925" s="39"/>
      <c r="U925" s="39"/>
    </row>
    <row r="926" spans="1:24" hidden="1" outlineLevel="1" x14ac:dyDescent="0.2">
      <c r="A926" s="5" t="s">
        <v>59</v>
      </c>
      <c r="B926" s="5" t="s">
        <v>9</v>
      </c>
      <c r="C926" s="7">
        <f>1899</f>
        <v>1899</v>
      </c>
      <c r="D926" s="1">
        <f>1730</f>
        <v>1730</v>
      </c>
      <c r="E926" s="7">
        <v>1528</v>
      </c>
      <c r="F926" s="7"/>
      <c r="G926" s="7">
        <v>1634</v>
      </c>
      <c r="H926" s="7">
        <v>1721</v>
      </c>
      <c r="I926" s="39">
        <v>1785</v>
      </c>
      <c r="J926" s="39">
        <v>2772</v>
      </c>
      <c r="K926" s="39">
        <v>1878</v>
      </c>
      <c r="L926" s="39">
        <v>480</v>
      </c>
      <c r="M926" s="39">
        <v>507</v>
      </c>
      <c r="N926" s="39">
        <v>905</v>
      </c>
      <c r="O926" s="39">
        <v>883</v>
      </c>
      <c r="P926" s="39">
        <v>737</v>
      </c>
      <c r="Q926" s="39">
        <v>225</v>
      </c>
      <c r="R926" s="39">
        <v>858</v>
      </c>
      <c r="S926" s="39"/>
      <c r="T926" s="39"/>
      <c r="U926" s="39"/>
    </row>
    <row r="927" spans="1:24" collapsed="1" x14ac:dyDescent="0.2">
      <c r="A927" s="5"/>
      <c r="B927" s="5"/>
      <c r="C927" s="5"/>
      <c r="D927" s="2"/>
      <c r="E927" s="5"/>
      <c r="F927" s="5"/>
      <c r="G927" s="7"/>
    </row>
    <row r="928" spans="1:24" x14ac:dyDescent="0.2">
      <c r="A928" s="5"/>
      <c r="B928" s="5"/>
      <c r="C928" s="5"/>
      <c r="D928" s="63">
        <f>1993</f>
        <v>1993</v>
      </c>
      <c r="E928" s="63">
        <f>1994</f>
        <v>1994</v>
      </c>
      <c r="F928" s="63"/>
      <c r="G928" s="64">
        <v>1995</v>
      </c>
      <c r="H928" s="64">
        <v>1996</v>
      </c>
      <c r="I928" s="38">
        <v>1997</v>
      </c>
      <c r="J928" s="38">
        <v>1998</v>
      </c>
      <c r="K928" s="38">
        <v>1999</v>
      </c>
      <c r="L928" s="38">
        <v>2000</v>
      </c>
      <c r="M928" s="38">
        <v>2001</v>
      </c>
      <c r="N928" s="38">
        <v>2002</v>
      </c>
      <c r="O928" s="38">
        <v>2003</v>
      </c>
      <c r="P928" s="38">
        <v>2004</v>
      </c>
      <c r="Q928" s="38">
        <v>2005</v>
      </c>
      <c r="R928" s="38">
        <v>2006</v>
      </c>
      <c r="S928" s="38">
        <v>2007</v>
      </c>
      <c r="T928" s="38">
        <v>2008</v>
      </c>
      <c r="U928" s="38">
        <v>2009</v>
      </c>
      <c r="V928" s="38">
        <v>2010</v>
      </c>
      <c r="W928" s="38">
        <v>2011</v>
      </c>
      <c r="X928" s="38">
        <v>2012</v>
      </c>
    </row>
    <row r="929" spans="1:24" x14ac:dyDescent="0.2">
      <c r="A929" s="5"/>
      <c r="B929" s="6" t="s">
        <v>318</v>
      </c>
      <c r="C929" s="5"/>
      <c r="D929" s="2"/>
      <c r="E929" s="5"/>
      <c r="F929" s="5"/>
      <c r="G929" s="7"/>
    </row>
    <row r="930" spans="1:24" x14ac:dyDescent="0.2">
      <c r="A930" s="6" t="s">
        <v>2</v>
      </c>
      <c r="B930" s="6" t="s">
        <v>252</v>
      </c>
      <c r="C930" s="5"/>
      <c r="D930" s="2"/>
      <c r="E930" s="5"/>
      <c r="F930" s="5"/>
      <c r="G930" s="7"/>
    </row>
    <row r="931" spans="1:24" x14ac:dyDescent="0.2">
      <c r="A931" s="5" t="s">
        <v>4</v>
      </c>
      <c r="B931" s="5" t="s">
        <v>325</v>
      </c>
      <c r="C931" s="7">
        <f>1627</f>
        <v>1627</v>
      </c>
      <c r="D931" s="1">
        <f>1600</f>
        <v>1600</v>
      </c>
      <c r="E931" s="7">
        <v>1641</v>
      </c>
      <c r="F931" s="7"/>
      <c r="G931" s="7">
        <v>1686</v>
      </c>
      <c r="H931" s="7">
        <v>1453</v>
      </c>
      <c r="I931" s="39">
        <v>3555</v>
      </c>
      <c r="J931" s="39">
        <v>2390</v>
      </c>
      <c r="K931" s="39">
        <v>2213</v>
      </c>
      <c r="L931" s="39">
        <v>415</v>
      </c>
      <c r="M931" s="39">
        <v>460</v>
      </c>
      <c r="N931" s="39">
        <v>520</v>
      </c>
      <c r="O931" s="39">
        <v>596</v>
      </c>
      <c r="P931" s="39">
        <v>528</v>
      </c>
      <c r="Q931" s="39">
        <v>536</v>
      </c>
      <c r="R931" s="39">
        <v>587</v>
      </c>
      <c r="S931" s="39">
        <v>617</v>
      </c>
      <c r="T931" s="39">
        <v>561</v>
      </c>
      <c r="U931" s="39">
        <v>545</v>
      </c>
      <c r="V931" s="39">
        <v>454</v>
      </c>
      <c r="W931" s="39">
        <v>529</v>
      </c>
      <c r="X931" s="39">
        <v>499</v>
      </c>
    </row>
    <row r="932" spans="1:24" x14ac:dyDescent="0.2">
      <c r="A932" s="5" t="s">
        <v>59</v>
      </c>
      <c r="B932" s="5" t="s">
        <v>326</v>
      </c>
      <c r="C932" s="7">
        <f>1899</f>
        <v>1899</v>
      </c>
      <c r="D932" s="1">
        <f>1730</f>
        <v>1730</v>
      </c>
      <c r="E932" s="7">
        <v>1528</v>
      </c>
      <c r="F932" s="7"/>
      <c r="G932" s="7">
        <v>1634</v>
      </c>
      <c r="H932" s="7">
        <v>1721</v>
      </c>
      <c r="I932" s="39">
        <v>1785</v>
      </c>
      <c r="J932" s="39">
        <v>2772</v>
      </c>
      <c r="K932" s="39">
        <v>1878</v>
      </c>
      <c r="L932" s="39">
        <v>339</v>
      </c>
      <c r="M932" s="39">
        <v>462</v>
      </c>
      <c r="N932" s="39">
        <v>402</v>
      </c>
      <c r="O932" s="39">
        <v>560</v>
      </c>
      <c r="P932" s="39">
        <v>709</v>
      </c>
      <c r="Q932" s="39">
        <v>571</v>
      </c>
      <c r="R932" s="39">
        <v>591</v>
      </c>
      <c r="S932" s="39">
        <v>509</v>
      </c>
      <c r="T932" s="39">
        <v>477</v>
      </c>
      <c r="U932" s="39">
        <v>670</v>
      </c>
      <c r="V932" s="39">
        <v>456</v>
      </c>
      <c r="W932" s="39">
        <v>500</v>
      </c>
      <c r="X932" s="39">
        <v>546</v>
      </c>
    </row>
    <row r="933" spans="1:24" x14ac:dyDescent="0.2">
      <c r="A933" s="5" t="s">
        <v>80</v>
      </c>
      <c r="B933" s="5" t="s">
        <v>64</v>
      </c>
      <c r="C933" s="7">
        <f>2749</f>
        <v>2749</v>
      </c>
      <c r="D933" s="1">
        <f>1848</f>
        <v>1848</v>
      </c>
      <c r="E933" s="7">
        <v>1961</v>
      </c>
      <c r="F933" s="7"/>
      <c r="G933" s="7">
        <v>2020</v>
      </c>
      <c r="H933" s="7">
        <v>1752</v>
      </c>
      <c r="I933" s="39">
        <v>3522</v>
      </c>
      <c r="J933" s="39">
        <v>3140</v>
      </c>
      <c r="K933" s="39">
        <v>3475</v>
      </c>
      <c r="L933" s="39">
        <v>891</v>
      </c>
      <c r="M933" s="39">
        <v>889</v>
      </c>
      <c r="N933" s="39">
        <v>1007</v>
      </c>
      <c r="O933" s="39">
        <v>1043</v>
      </c>
      <c r="P933" s="39">
        <v>874</v>
      </c>
      <c r="Q933" s="39">
        <v>846</v>
      </c>
      <c r="R933" s="39">
        <v>843</v>
      </c>
      <c r="S933" s="39">
        <v>921</v>
      </c>
      <c r="T933" s="39">
        <v>1002</v>
      </c>
      <c r="U933" s="39">
        <v>874</v>
      </c>
      <c r="V933" s="39">
        <v>873</v>
      </c>
      <c r="W933" s="39">
        <v>902</v>
      </c>
      <c r="X933" s="39">
        <v>855</v>
      </c>
    </row>
    <row r="934" spans="1:24" x14ac:dyDescent="0.2">
      <c r="A934" s="5" t="s">
        <v>82</v>
      </c>
      <c r="B934" s="5" t="s">
        <v>56</v>
      </c>
      <c r="C934" s="5"/>
      <c r="D934" s="2"/>
      <c r="E934" s="5"/>
      <c r="F934" s="5"/>
      <c r="G934" s="7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</row>
    <row r="935" spans="1:24" x14ac:dyDescent="0.2">
      <c r="A935" s="5"/>
      <c r="B935" s="5" t="s">
        <v>57</v>
      </c>
      <c r="C935" s="22">
        <f>19.7</f>
        <v>19.7</v>
      </c>
      <c r="D935" s="2">
        <f>20.4</f>
        <v>20.399999999999999</v>
      </c>
      <c r="E935" s="5">
        <v>19.5</v>
      </c>
      <c r="F935" s="5"/>
      <c r="G935" s="24">
        <v>18.899999999999999</v>
      </c>
      <c r="H935" s="7">
        <v>18.7</v>
      </c>
      <c r="I935" s="40">
        <v>16.8</v>
      </c>
      <c r="J935" s="40">
        <v>16.5</v>
      </c>
      <c r="K935" s="40">
        <v>15.9</v>
      </c>
      <c r="L935" s="40">
        <v>30.2</v>
      </c>
      <c r="M935" s="40">
        <v>23.1</v>
      </c>
      <c r="N935" s="49">
        <v>30.1</v>
      </c>
      <c r="O935" s="49">
        <v>18.600000000000001</v>
      </c>
      <c r="P935" s="58">
        <v>18.5</v>
      </c>
      <c r="Q935" s="58">
        <v>17.3</v>
      </c>
      <c r="R935" s="52">
        <v>16</v>
      </c>
      <c r="S935" s="52">
        <v>18.600000000000001</v>
      </c>
      <c r="T935" s="52">
        <v>16.7</v>
      </c>
      <c r="U935" s="52">
        <v>18.600000000000001</v>
      </c>
      <c r="V935" s="52">
        <v>22.8</v>
      </c>
      <c r="W935" s="52">
        <v>23.3</v>
      </c>
      <c r="X935" s="52">
        <v>20.6</v>
      </c>
    </row>
    <row r="936" spans="1:24" x14ac:dyDescent="0.2">
      <c r="A936" s="5"/>
      <c r="B936" s="5"/>
      <c r="C936" s="5"/>
      <c r="D936" s="2"/>
      <c r="E936" s="5"/>
      <c r="F936" s="5"/>
      <c r="G936" s="7"/>
      <c r="I936" s="39"/>
      <c r="J936" s="39"/>
      <c r="K936" s="39"/>
      <c r="L936" s="48"/>
      <c r="M936" s="48"/>
      <c r="N936" s="48"/>
      <c r="O936" s="21"/>
      <c r="P936" s="21"/>
      <c r="Q936" s="21"/>
      <c r="R936" s="21"/>
      <c r="S936" s="21"/>
      <c r="T936" s="21"/>
      <c r="U936" s="21"/>
    </row>
    <row r="937" spans="1:24" x14ac:dyDescent="0.2">
      <c r="A937" s="6" t="s">
        <v>89</v>
      </c>
      <c r="B937" s="6" t="s">
        <v>317</v>
      </c>
      <c r="C937" s="5"/>
      <c r="D937" s="2"/>
      <c r="E937" s="5"/>
      <c r="F937" s="5"/>
      <c r="G937" s="7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</row>
    <row r="938" spans="1:24" x14ac:dyDescent="0.2">
      <c r="A938" s="5" t="s">
        <v>4</v>
      </c>
      <c r="B938" s="5" t="s">
        <v>61</v>
      </c>
      <c r="C938" s="5">
        <f>164</f>
        <v>164</v>
      </c>
      <c r="D938" s="2">
        <f>216</f>
        <v>216</v>
      </c>
      <c r="E938" s="5">
        <v>223</v>
      </c>
      <c r="F938" s="5"/>
      <c r="G938" s="7">
        <v>243</v>
      </c>
      <c r="H938" s="7">
        <v>243</v>
      </c>
      <c r="I938" s="39">
        <v>331</v>
      </c>
      <c r="J938" s="39">
        <v>297</v>
      </c>
      <c r="K938" s="39">
        <v>364</v>
      </c>
      <c r="L938" s="39">
        <v>82</v>
      </c>
      <c r="M938" s="39">
        <v>69</v>
      </c>
      <c r="N938" s="39">
        <v>91</v>
      </c>
      <c r="O938" s="39">
        <v>112</v>
      </c>
      <c r="P938" s="39">
        <v>113</v>
      </c>
      <c r="Q938" s="39">
        <v>268</v>
      </c>
      <c r="R938" s="39">
        <v>406</v>
      </c>
      <c r="S938" s="39" t="s">
        <v>356</v>
      </c>
      <c r="T938" s="39" t="s">
        <v>596</v>
      </c>
      <c r="U938" s="39">
        <v>28</v>
      </c>
      <c r="V938" s="39">
        <v>1</v>
      </c>
      <c r="W938" s="39">
        <v>2</v>
      </c>
      <c r="X938" s="39">
        <v>0</v>
      </c>
    </row>
    <row r="939" spans="1:24" x14ac:dyDescent="0.2">
      <c r="A939" s="5" t="s">
        <v>59</v>
      </c>
      <c r="B939" s="5" t="s">
        <v>9</v>
      </c>
      <c r="C939" s="5">
        <f>170</f>
        <v>170</v>
      </c>
      <c r="D939" s="2">
        <f>187</f>
        <v>187</v>
      </c>
      <c r="E939" s="5">
        <v>219</v>
      </c>
      <c r="F939" s="5"/>
      <c r="G939" s="7">
        <v>225</v>
      </c>
      <c r="H939" s="7">
        <v>249</v>
      </c>
      <c r="I939" s="39">
        <v>321</v>
      </c>
      <c r="J939" s="39">
        <v>309</v>
      </c>
      <c r="K939" s="39">
        <v>314</v>
      </c>
      <c r="L939" s="39">
        <v>69</v>
      </c>
      <c r="M939" s="39">
        <v>73</v>
      </c>
      <c r="N939" s="39">
        <v>74</v>
      </c>
      <c r="O939" s="39">
        <v>104</v>
      </c>
      <c r="P939" s="39">
        <v>152</v>
      </c>
      <c r="Q939" s="39">
        <v>229</v>
      </c>
      <c r="R939" s="39">
        <v>393</v>
      </c>
      <c r="S939" s="39" t="s">
        <v>357</v>
      </c>
      <c r="T939" s="39" t="s">
        <v>597</v>
      </c>
      <c r="U939" s="39">
        <v>35</v>
      </c>
      <c r="V939" s="39">
        <v>4</v>
      </c>
      <c r="W939" s="39">
        <v>3</v>
      </c>
      <c r="X939" s="39">
        <v>0</v>
      </c>
    </row>
    <row r="940" spans="1:24" x14ac:dyDescent="0.2">
      <c r="A940" s="5" t="s">
        <v>80</v>
      </c>
      <c r="B940" s="5" t="s">
        <v>64</v>
      </c>
      <c r="C940" s="5">
        <f>75</f>
        <v>75</v>
      </c>
      <c r="D940" s="2">
        <f>81</f>
        <v>81</v>
      </c>
      <c r="E940" s="5">
        <v>85</v>
      </c>
      <c r="F940" s="5"/>
      <c r="G940" s="7">
        <v>107</v>
      </c>
      <c r="H940" s="7">
        <v>101</v>
      </c>
      <c r="I940" s="39">
        <v>111</v>
      </c>
      <c r="J940" s="39">
        <v>99</v>
      </c>
      <c r="K940" s="39">
        <v>149</v>
      </c>
      <c r="L940" s="39">
        <v>80</v>
      </c>
      <c r="M940" s="39">
        <v>76</v>
      </c>
      <c r="N940" s="39">
        <v>93</v>
      </c>
      <c r="O940" s="39">
        <v>101</v>
      </c>
      <c r="P940" s="39">
        <v>50</v>
      </c>
      <c r="Q940" s="39">
        <v>86</v>
      </c>
      <c r="R940" s="39">
        <v>99</v>
      </c>
      <c r="S940" s="39" t="s">
        <v>358</v>
      </c>
      <c r="T940" s="39" t="s">
        <v>598</v>
      </c>
      <c r="U940" s="39">
        <v>4</v>
      </c>
      <c r="V940" s="39">
        <v>1</v>
      </c>
      <c r="W940" s="39">
        <v>0</v>
      </c>
      <c r="X940" s="39">
        <v>0</v>
      </c>
    </row>
    <row r="941" spans="1:24" x14ac:dyDescent="0.2">
      <c r="A941" s="5" t="s">
        <v>82</v>
      </c>
      <c r="B941" s="5" t="s">
        <v>56</v>
      </c>
      <c r="C941" s="5"/>
      <c r="D941" s="2"/>
      <c r="E941" s="5"/>
      <c r="F941" s="5"/>
      <c r="G941" s="7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</row>
    <row r="942" spans="1:24" x14ac:dyDescent="0.2">
      <c r="A942" s="5"/>
      <c r="B942" s="5" t="s">
        <v>57</v>
      </c>
      <c r="C942" s="22">
        <f>4.8</f>
        <v>4.8</v>
      </c>
      <c r="D942" s="2">
        <f>3.6</f>
        <v>3.6</v>
      </c>
      <c r="E942" s="5">
        <v>4.5</v>
      </c>
      <c r="F942" s="5"/>
      <c r="G942" s="24">
        <v>4.0999999999999996</v>
      </c>
      <c r="H942" s="24">
        <v>4.5</v>
      </c>
      <c r="I942" s="40">
        <v>7.5</v>
      </c>
      <c r="J942" s="40">
        <v>4.5999999999999996</v>
      </c>
      <c r="K942" s="40">
        <v>4.3</v>
      </c>
      <c r="L942" s="40">
        <v>12.8</v>
      </c>
      <c r="M942" s="40">
        <v>12.8</v>
      </c>
      <c r="N942" s="40">
        <v>13.7</v>
      </c>
      <c r="O942" s="40">
        <v>11.2</v>
      </c>
      <c r="P942" s="40">
        <f>((101+50)/2)/152*12</f>
        <v>5.9605263157894743</v>
      </c>
      <c r="Q942" s="40">
        <f>((47+86)/2)/229*12</f>
        <v>3.4847161572052405</v>
      </c>
      <c r="R942" s="40">
        <v>2.8</v>
      </c>
      <c r="S942" s="58">
        <v>3.5</v>
      </c>
      <c r="T942" s="58">
        <v>1.9</v>
      </c>
      <c r="U942" s="58">
        <v>2</v>
      </c>
      <c r="V942" s="58">
        <v>14.1</v>
      </c>
      <c r="W942" s="58">
        <v>5.0999999999999996</v>
      </c>
      <c r="X942" s="58">
        <v>0</v>
      </c>
    </row>
    <row r="943" spans="1:24" x14ac:dyDescent="0.2">
      <c r="A943" s="5"/>
      <c r="B943" s="5"/>
      <c r="C943" s="5"/>
      <c r="D943" s="2"/>
      <c r="E943" s="5"/>
      <c r="F943" s="5"/>
      <c r="G943" s="7"/>
      <c r="I943" s="48"/>
      <c r="J943" s="48"/>
      <c r="K943" s="48"/>
      <c r="V943" s="7"/>
      <c r="W943" s="7"/>
      <c r="X943" s="7"/>
    </row>
    <row r="944" spans="1:24" x14ac:dyDescent="0.2">
      <c r="A944" s="6" t="s">
        <v>121</v>
      </c>
      <c r="B944" s="6" t="s">
        <v>253</v>
      </c>
      <c r="C944" s="5"/>
      <c r="D944" s="2"/>
      <c r="E944" s="5"/>
      <c r="F944" s="5"/>
      <c r="G944" s="7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</row>
    <row r="945" spans="1:25" x14ac:dyDescent="0.2">
      <c r="A945" s="5" t="s">
        <v>4</v>
      </c>
      <c r="B945" s="5" t="s">
        <v>61</v>
      </c>
      <c r="C945" s="5">
        <f>164</f>
        <v>164</v>
      </c>
      <c r="D945" s="2">
        <f>216</f>
        <v>216</v>
      </c>
      <c r="E945" s="5">
        <v>223</v>
      </c>
      <c r="F945" s="5"/>
      <c r="G945" s="7">
        <v>243</v>
      </c>
      <c r="H945" s="7">
        <v>243</v>
      </c>
      <c r="I945" s="39">
        <v>331</v>
      </c>
      <c r="J945" s="39">
        <v>297</v>
      </c>
      <c r="K945" s="39">
        <v>364</v>
      </c>
      <c r="L945" s="39">
        <v>87</v>
      </c>
      <c r="M945" s="39">
        <v>77</v>
      </c>
      <c r="N945" s="39">
        <v>118</v>
      </c>
      <c r="O945" s="39">
        <v>131</v>
      </c>
      <c r="P945" s="39">
        <v>85</v>
      </c>
      <c r="Q945" s="39">
        <v>147</v>
      </c>
      <c r="R945" s="39">
        <v>198</v>
      </c>
      <c r="S945" s="39" t="s">
        <v>359</v>
      </c>
      <c r="T945" s="39" t="s">
        <v>600</v>
      </c>
      <c r="U945" s="39" t="s">
        <v>670</v>
      </c>
      <c r="V945" s="39">
        <v>346</v>
      </c>
      <c r="W945" s="39">
        <v>363</v>
      </c>
      <c r="X945" s="39">
        <v>277</v>
      </c>
    </row>
    <row r="946" spans="1:25" x14ac:dyDescent="0.2">
      <c r="A946" s="5" t="s">
        <v>59</v>
      </c>
      <c r="B946" s="5" t="s">
        <v>9</v>
      </c>
      <c r="C946" s="5">
        <f>170</f>
        <v>170</v>
      </c>
      <c r="D946" s="2">
        <f>187</f>
        <v>187</v>
      </c>
      <c r="E946" s="5">
        <v>219</v>
      </c>
      <c r="F946" s="5"/>
      <c r="G946" s="7">
        <v>225</v>
      </c>
      <c r="H946" s="7">
        <v>249</v>
      </c>
      <c r="I946" s="39">
        <v>321</v>
      </c>
      <c r="J946" s="39">
        <v>309</v>
      </c>
      <c r="K946" s="39">
        <v>314</v>
      </c>
      <c r="L946" s="39">
        <v>63</v>
      </c>
      <c r="M946" s="39">
        <v>105</v>
      </c>
      <c r="N946" s="39">
        <v>92</v>
      </c>
      <c r="O946" s="39">
        <v>119</v>
      </c>
      <c r="P946" s="39">
        <v>119</v>
      </c>
      <c r="Q946" s="39">
        <v>134</v>
      </c>
      <c r="R946" s="39">
        <v>202</v>
      </c>
      <c r="S946" s="39" t="s">
        <v>360</v>
      </c>
      <c r="T946" s="39" t="s">
        <v>601</v>
      </c>
      <c r="U946" s="39">
        <v>318</v>
      </c>
      <c r="V946" s="39">
        <v>336</v>
      </c>
      <c r="W946" s="39">
        <v>359</v>
      </c>
      <c r="X946" s="39">
        <v>292</v>
      </c>
    </row>
    <row r="947" spans="1:25" x14ac:dyDescent="0.2">
      <c r="A947" s="5" t="s">
        <v>80</v>
      </c>
      <c r="B947" s="5" t="s">
        <v>64</v>
      </c>
      <c r="C947" s="5">
        <f>75</f>
        <v>75</v>
      </c>
      <c r="D947" s="2">
        <f>81</f>
        <v>81</v>
      </c>
      <c r="E947" s="5">
        <v>85</v>
      </c>
      <c r="F947" s="5"/>
      <c r="G947" s="7">
        <v>107</v>
      </c>
      <c r="H947" s="7">
        <v>101</v>
      </c>
      <c r="I947" s="39">
        <v>111</v>
      </c>
      <c r="J947" s="39">
        <v>99</v>
      </c>
      <c r="K947" s="39">
        <v>149</v>
      </c>
      <c r="L947" s="39">
        <v>134</v>
      </c>
      <c r="M947" s="39">
        <v>106</v>
      </c>
      <c r="N947" s="39">
        <v>132</v>
      </c>
      <c r="O947" s="39">
        <v>144</v>
      </c>
      <c r="P947" s="39">
        <v>88</v>
      </c>
      <c r="Q947" s="39">
        <v>108</v>
      </c>
      <c r="R947" s="39">
        <v>104</v>
      </c>
      <c r="S947" s="39" t="s">
        <v>361</v>
      </c>
      <c r="T947" s="39" t="s">
        <v>599</v>
      </c>
      <c r="U947" s="39">
        <v>39</v>
      </c>
      <c r="V947" s="39">
        <v>49</v>
      </c>
      <c r="W947" s="39">
        <v>53</v>
      </c>
      <c r="X947" s="39">
        <v>38</v>
      </c>
    </row>
    <row r="948" spans="1:25" x14ac:dyDescent="0.2">
      <c r="A948" s="5" t="s">
        <v>82</v>
      </c>
      <c r="B948" s="5" t="s">
        <v>56</v>
      </c>
      <c r="C948" s="5"/>
      <c r="D948" s="2"/>
      <c r="E948" s="5"/>
      <c r="F948" s="5"/>
      <c r="G948" s="7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</row>
    <row r="949" spans="1:25" x14ac:dyDescent="0.2">
      <c r="A949" s="5"/>
      <c r="B949" s="5" t="s">
        <v>57</v>
      </c>
      <c r="C949" s="22">
        <f>4.8</f>
        <v>4.8</v>
      </c>
      <c r="D949" s="2">
        <f>3.6</f>
        <v>3.6</v>
      </c>
      <c r="E949" s="5">
        <v>4.5</v>
      </c>
      <c r="F949" s="5"/>
      <c r="G949" s="24">
        <v>4.0999999999999996</v>
      </c>
      <c r="H949" s="24">
        <v>4.5</v>
      </c>
      <c r="I949" s="40">
        <v>7.5</v>
      </c>
      <c r="J949" s="40">
        <v>4.5999999999999996</v>
      </c>
      <c r="K949" s="40">
        <v>4.3</v>
      </c>
      <c r="L949" s="40">
        <v>23.2</v>
      </c>
      <c r="M949" s="40">
        <v>13.7</v>
      </c>
      <c r="N949" s="40">
        <v>15.5</v>
      </c>
      <c r="O949" s="40">
        <v>13.9</v>
      </c>
      <c r="P949" s="40">
        <f>((144+88)/2)/119*12</f>
        <v>11.697478991596638</v>
      </c>
      <c r="Q949" s="40">
        <f>((95+108)/2)/134*12</f>
        <v>9.08955223880597</v>
      </c>
      <c r="R949" s="40">
        <v>6.3</v>
      </c>
      <c r="S949" s="40">
        <v>4.0999999999999996</v>
      </c>
      <c r="T949" s="40">
        <v>2.4</v>
      </c>
      <c r="U949" s="40">
        <v>2.2000000000000002</v>
      </c>
      <c r="V949" s="40">
        <v>1.6</v>
      </c>
      <c r="W949" s="40">
        <v>1.3</v>
      </c>
      <c r="X949" s="40">
        <v>1.5</v>
      </c>
    </row>
    <row r="950" spans="1:25" hidden="1" outlineLevel="1" x14ac:dyDescent="0.2">
      <c r="A950" s="5"/>
      <c r="B950" s="5"/>
      <c r="C950" s="5"/>
      <c r="D950" s="2"/>
      <c r="E950" s="5"/>
      <c r="F950" s="5"/>
      <c r="G950" s="7"/>
    </row>
    <row r="951" spans="1:25" hidden="1" outlineLevel="1" x14ac:dyDescent="0.2">
      <c r="A951" s="6" t="s">
        <v>239</v>
      </c>
      <c r="B951" s="6" t="s">
        <v>617</v>
      </c>
      <c r="C951" s="5"/>
      <c r="D951" s="2"/>
      <c r="E951" s="5"/>
      <c r="F951" s="5"/>
      <c r="G951" s="7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</row>
    <row r="952" spans="1:25" hidden="1" outlineLevel="1" x14ac:dyDescent="0.2">
      <c r="A952" s="5" t="s">
        <v>4</v>
      </c>
      <c r="B952" s="5" t="s">
        <v>325</v>
      </c>
      <c r="C952" s="7">
        <f>1627</f>
        <v>1627</v>
      </c>
      <c r="D952" s="1">
        <f>1600</f>
        <v>1600</v>
      </c>
      <c r="E952" s="7">
        <v>1641</v>
      </c>
      <c r="F952" s="7"/>
      <c r="G952" s="7">
        <v>1686</v>
      </c>
      <c r="H952" s="7">
        <v>1453</v>
      </c>
      <c r="I952" s="39">
        <v>3555</v>
      </c>
      <c r="J952" s="39">
        <v>2390</v>
      </c>
      <c r="K952" s="39">
        <v>2213</v>
      </c>
      <c r="L952" s="39">
        <v>59</v>
      </c>
      <c r="M952" s="39">
        <v>75</v>
      </c>
      <c r="N952" s="39">
        <v>50</v>
      </c>
      <c r="O952" s="39">
        <v>57</v>
      </c>
      <c r="P952" s="39">
        <v>48</v>
      </c>
      <c r="Q952" s="39">
        <v>68</v>
      </c>
      <c r="R952" s="39">
        <v>71</v>
      </c>
      <c r="S952" s="39"/>
      <c r="T952" s="39"/>
      <c r="U952" s="39"/>
    </row>
    <row r="953" spans="1:25" hidden="1" outlineLevel="1" x14ac:dyDescent="0.2">
      <c r="A953" s="5" t="s">
        <v>59</v>
      </c>
      <c r="B953" s="5" t="s">
        <v>355</v>
      </c>
      <c r="C953" s="7">
        <f>1899</f>
        <v>1899</v>
      </c>
      <c r="D953" s="1">
        <f>1730</f>
        <v>1730</v>
      </c>
      <c r="E953" s="7">
        <v>1528</v>
      </c>
      <c r="F953" s="7"/>
      <c r="G953" s="7">
        <v>1634</v>
      </c>
      <c r="H953" s="7">
        <v>1721</v>
      </c>
      <c r="I953" s="39">
        <v>1785</v>
      </c>
      <c r="J953" s="39">
        <v>2772</v>
      </c>
      <c r="K953" s="39">
        <v>1878</v>
      </c>
      <c r="L953" s="39">
        <v>43</v>
      </c>
      <c r="M953" s="39">
        <v>75</v>
      </c>
      <c r="N953" s="39">
        <v>41</v>
      </c>
      <c r="O953" s="39">
        <v>79</v>
      </c>
      <c r="P953" s="39">
        <v>42</v>
      </c>
      <c r="Q953" s="39">
        <v>23</v>
      </c>
      <c r="R953" s="39">
        <v>82</v>
      </c>
      <c r="S953" s="39"/>
      <c r="T953" s="39"/>
      <c r="U953" s="39"/>
    </row>
    <row r="954" spans="1:25" collapsed="1" x14ac:dyDescent="0.2">
      <c r="A954" s="5"/>
      <c r="B954" s="5"/>
      <c r="C954" s="5"/>
      <c r="D954" s="2"/>
      <c r="E954" s="5"/>
      <c r="F954" s="5"/>
      <c r="G954" s="7"/>
    </row>
    <row r="955" spans="1:25" x14ac:dyDescent="0.2">
      <c r="A955" s="5"/>
      <c r="B955" s="5"/>
      <c r="C955" s="5"/>
      <c r="D955" s="2"/>
      <c r="E955" s="5"/>
      <c r="F955" s="5"/>
      <c r="G955" s="7"/>
    </row>
    <row r="956" spans="1:25" ht="13.5" thickBot="1" x14ac:dyDescent="0.25">
      <c r="A956" s="36"/>
      <c r="B956" s="36"/>
      <c r="C956" s="5"/>
      <c r="D956" s="2"/>
      <c r="E956" s="5"/>
      <c r="F956" s="5"/>
      <c r="G956" s="7"/>
      <c r="T956" s="103"/>
      <c r="U956" s="103"/>
      <c r="V956" s="104"/>
      <c r="W956" s="104"/>
      <c r="X956" s="104"/>
      <c r="Y956" s="104"/>
    </row>
    <row r="957" spans="1:25" ht="13.5" thickTop="1" x14ac:dyDescent="0.2">
      <c r="A957" s="37" t="s">
        <v>327</v>
      </c>
      <c r="B957" s="5"/>
      <c r="C957" s="5"/>
      <c r="D957" s="2"/>
      <c r="E957" s="5"/>
      <c r="F957" s="5"/>
      <c r="G957" s="7"/>
    </row>
    <row r="958" spans="1:25" s="92" customFormat="1" hidden="1" outlineLevel="1" x14ac:dyDescent="0.2">
      <c r="A958" s="26" t="s">
        <v>353</v>
      </c>
      <c r="C958" s="25"/>
      <c r="D958" s="25"/>
      <c r="E958" s="25"/>
      <c r="F958" s="25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</row>
    <row r="959" spans="1:25" s="92" customFormat="1" ht="25.5" customHeight="1" collapsed="1" x14ac:dyDescent="0.2">
      <c r="A959" s="107" t="s">
        <v>703</v>
      </c>
      <c r="B959" s="108"/>
      <c r="C959" s="108"/>
      <c r="D959" s="108"/>
      <c r="E959" s="108"/>
      <c r="F959" s="108"/>
      <c r="G959" s="108"/>
      <c r="H959" s="108"/>
      <c r="I959" s="108"/>
      <c r="J959" s="108"/>
      <c r="K959" s="108"/>
      <c r="L959" s="108"/>
      <c r="M959" s="108"/>
      <c r="N959" s="108"/>
      <c r="O959" s="108"/>
      <c r="P959" s="108"/>
      <c r="Q959" s="108"/>
      <c r="R959" s="108"/>
      <c r="S959" s="108"/>
      <c r="T959" s="108"/>
      <c r="U959" s="108"/>
      <c r="V959" s="108"/>
      <c r="W959" s="108"/>
      <c r="X959" s="108"/>
      <c r="Y959" s="108"/>
    </row>
    <row r="960" spans="1:25" s="92" customFormat="1" x14ac:dyDescent="0.2">
      <c r="A960" s="26" t="s">
        <v>618</v>
      </c>
      <c r="C960" s="25"/>
      <c r="D960" s="25"/>
      <c r="E960" s="25"/>
      <c r="F960" s="25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</row>
    <row r="961" spans="1:21" s="92" customFormat="1" x14ac:dyDescent="0.2">
      <c r="A961" s="26" t="s">
        <v>374</v>
      </c>
      <c r="C961" s="25"/>
      <c r="D961" s="25"/>
      <c r="E961" s="25"/>
      <c r="F961" s="25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</row>
    <row r="962" spans="1:21" hidden="1" outlineLevel="1" x14ac:dyDescent="0.2">
      <c r="A962" s="26" t="s">
        <v>615</v>
      </c>
    </row>
    <row r="963" spans="1:21" collapsed="1" x14ac:dyDescent="0.2">
      <c r="A963" s="26" t="s">
        <v>705</v>
      </c>
    </row>
    <row r="964" spans="1:21" hidden="1" outlineLevel="1" x14ac:dyDescent="0.2">
      <c r="A964" s="26" t="s">
        <v>622</v>
      </c>
    </row>
    <row r="965" spans="1:21" collapsed="1" x14ac:dyDescent="0.2">
      <c r="A965" s="26" t="s">
        <v>701</v>
      </c>
    </row>
    <row r="966" spans="1:21" x14ac:dyDescent="0.2">
      <c r="A966" s="26" t="s">
        <v>667</v>
      </c>
    </row>
    <row r="967" spans="1:21" x14ac:dyDescent="0.2">
      <c r="A967" s="26" t="s">
        <v>671</v>
      </c>
      <c r="D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</row>
    <row r="968" spans="1:21" x14ac:dyDescent="0.2">
      <c r="A968" s="26" t="s">
        <v>687</v>
      </c>
    </row>
    <row r="969" spans="1:21" x14ac:dyDescent="0.2">
      <c r="A969" s="26" t="s">
        <v>688</v>
      </c>
    </row>
    <row r="970" spans="1:21" x14ac:dyDescent="0.2">
      <c r="A970" s="26" t="s">
        <v>709</v>
      </c>
    </row>
    <row r="971" spans="1:21" x14ac:dyDescent="0.2">
      <c r="A971" s="26" t="s">
        <v>715</v>
      </c>
    </row>
    <row r="972" spans="1:21" x14ac:dyDescent="0.2">
      <c r="A972" s="26" t="s">
        <v>726</v>
      </c>
    </row>
    <row r="973" spans="1:21" x14ac:dyDescent="0.2">
      <c r="A973" s="26" t="s">
        <v>729</v>
      </c>
    </row>
    <row r="974" spans="1:21" x14ac:dyDescent="0.2">
      <c r="A974" s="26" t="s">
        <v>730</v>
      </c>
    </row>
    <row r="975" spans="1:21" x14ac:dyDescent="0.2">
      <c r="A975" s="26" t="s">
        <v>735</v>
      </c>
    </row>
  </sheetData>
  <mergeCells count="8">
    <mergeCell ref="A959:Y959"/>
    <mergeCell ref="B542:C542"/>
    <mergeCell ref="B532:C532"/>
    <mergeCell ref="B535:C535"/>
    <mergeCell ref="L136:M136"/>
    <mergeCell ref="L138:M138"/>
    <mergeCell ref="L142:M142"/>
    <mergeCell ref="B534:C534"/>
  </mergeCells>
  <phoneticPr fontId="5" type="noConversion"/>
  <printOptions horizontalCentered="1" gridLinesSet="0"/>
  <pageMargins left="0.59055118110236227" right="0" top="0.98425196850393704" bottom="0" header="0.51181102362204722" footer="0.51181102362204722"/>
  <pageSetup paperSize="9" scale="95" fitToHeight="14" orientation="portrait" r:id="rId1"/>
  <headerFooter alignWithMargins="0">
    <oddFooter>Seite &amp;P von &amp;N</oddFooter>
  </headerFooter>
  <rowBreaks count="13" manualBreakCount="13">
    <brk id="111" max="24" man="1"/>
    <brk id="171" max="24" man="1"/>
    <brk id="239" max="24" man="1"/>
    <brk id="305" max="24" man="1"/>
    <brk id="392" max="24" man="1"/>
    <brk id="457" max="24" man="1"/>
    <brk id="590" max="24" man="1"/>
    <brk id="649" max="24" man="1"/>
    <brk id="702" max="24" man="1"/>
    <brk id="762" max="24" man="1"/>
    <brk id="818" max="24" man="1"/>
    <brk id="872" max="24" man="1"/>
    <brk id="927" max="24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HIMInhaltsdatei WorkflowStarted</Name>
    <Synchronization>Asynchronous</Synchronization>
    <Type>10501</Type>
    <SequenceNumber>1000</SequenceNumber>
    <Assembly>HIMInhaltsdatei, Version=1.0.0.0, Culture=neutral, PublicKeyToken=8897db2579922fd2</Assembly>
    <Class>HIMInhaltsdatei.HIMWorkflowEventReceiver</Class>
    <Data/>
    <Filter/>
  </Receiver>
  <Receiver>
    <Name>HIMInhaltsdatei WorkflowCompleted</Name>
    <Synchronization>Asynchronous</Synchronization>
    <Type>10503</Type>
    <SequenceNumber>1000</SequenceNumber>
    <Assembly>HIMInhaltsdatei, Version=1.0.0.0, Culture=neutral, PublicKeyToken=8897db2579922fd2</Assembly>
    <Class>HIMInhaltsdatei.HIMWorkflowEventReceiver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HIM-Inhaltsdatei" ma:contentTypeID="0x0101006D70C196DCEC43C7BF5E77BE583270F700A65CAF2932910D45A53D38A9089FCE18" ma:contentTypeVersion="24" ma:contentTypeDescription="Inhaltsdatei für HIM-Dokumentenmappe" ma:contentTypeScope="" ma:versionID="46c6854d26ebd08ff8bd9d2f9c5d2eb8">
  <xsd:schema xmlns:xsd="http://www.w3.org/2001/XMLSchema" xmlns:xs="http://www.w3.org/2001/XMLSchema" xmlns:p="http://schemas.microsoft.com/office/2006/metadata/properties" xmlns:ns2="3fbe300c-31c9-4ede-840f-b4a52675a17f" xmlns:ns3="31462a8c-37d5-475b-8615-fd92d8a29cdb" targetNamespace="http://schemas.microsoft.com/office/2006/metadata/properties" ma:root="true" ma:fieldsID="9b331c093ac113451f6212f68445b08a" ns2:_="" ns3:_="">
    <xsd:import namespace="3fbe300c-31c9-4ede-840f-b4a52675a17f"/>
    <xsd:import namespace="31462a8c-37d5-475b-8615-fd92d8a29cdb"/>
    <xsd:element name="properties">
      <xsd:complexType>
        <xsd:sequence>
          <xsd:element name="documentManagement">
            <xsd:complexType>
              <xsd:all>
                <xsd:element ref="ns2:HIMAktenrelevanz" minOccurs="0"/>
                <xsd:element ref="ns3:HIMKonvertierungsAusschluss" minOccurs="0"/>
                <xsd:element ref="ns3:HIMIsPermanent" minOccurs="0"/>
                <xsd:element ref="ns2:HIMWorkflowStatus" minOccurs="0"/>
                <xsd:element ref="ns3:HIMStatusUrl" minOccurs="0"/>
                <xsd:element ref="ns3:HNConversionMethod" minOccurs="0"/>
                <xsd:element ref="ns2:HIMMappennumm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be300c-31c9-4ede-840f-b4a52675a17f" elementFormDefault="qualified">
    <xsd:import namespace="http://schemas.microsoft.com/office/2006/documentManagement/types"/>
    <xsd:import namespace="http://schemas.microsoft.com/office/infopath/2007/PartnerControls"/>
    <xsd:element name="HIMAktenrelevanz" ma:index="8" nillable="true" ma:displayName="Aktenrelevanz" ma:default="0" ma:hidden="true" ma:internalName="HIMAktenrelevanz">
      <xsd:simpleType>
        <xsd:restriction base="dms:Boolean"/>
      </xsd:simpleType>
    </xsd:element>
    <xsd:element name="HIMWorkflowStatus" ma:index="11" nillable="true" ma:displayName="WorkflowStatus" ma:internalName="HIMWorkflowStatus">
      <xsd:simpleType>
        <xsd:restriction base="dms:Text">
          <xsd:maxLength value="255"/>
        </xsd:restriction>
      </xsd:simpleType>
    </xsd:element>
    <xsd:element name="HIMMappennummer" ma:index="17" nillable="true" ma:displayName="Mappennummer" ma:hidden="true" ma:internalName="HIMMappennumm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462a8c-37d5-475b-8615-fd92d8a29cdb" elementFormDefault="qualified">
    <xsd:import namespace="http://schemas.microsoft.com/office/2006/documentManagement/types"/>
    <xsd:import namespace="http://schemas.microsoft.com/office/infopath/2007/PartnerControls"/>
    <xsd:element name="HIMKonvertierungsAusschluss" ma:index="9" nillable="true" ma:displayName="KonvertierungsAusschluss" ma:default="0" ma:internalName="HIMKonvertierungsAusschluss">
      <xsd:simpleType>
        <xsd:restriction base="dms:Boolean"/>
      </xsd:simpleType>
    </xsd:element>
    <xsd:element name="HIMIsPermanent" ma:index="10" nillable="true" ma:displayName="IsPermanent" ma:default="0" ma:internalName="HIMIsPermanent">
      <xsd:simpleType>
        <xsd:restriction base="dms:Boolean"/>
      </xsd:simpleType>
    </xsd:element>
    <xsd:element name="HIMStatusUrl" ma:index="12" nillable="true" ma:displayName="StatusUrl" ma:internalName="HIMStatusUrl">
      <xsd:simpleType>
        <xsd:restriction base="dms:Text">
          <xsd:maxLength value="255"/>
        </xsd:restriction>
      </xsd:simpleType>
    </xsd:element>
    <xsd:element name="HNConversionMethod" ma:index="13" nillable="true" ma:displayName="HNConversionMethod" ma:internalName="HNConversionMethod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IMMappennummer xmlns="3fbe300c-31c9-4ede-840f-b4a52675a17f">5a86109b-5f5f-4a4a-a6f6-3b5a1dc7cc36</HIMMappennummer>
    <HIMAktenrelevanz xmlns="3fbe300c-31c9-4ede-840f-b4a52675a17f">false</HIMAktenrelevanz>
    <HIMWorkflowStatus xmlns="3fbe300c-31c9-4ede-840f-b4a52675a17f" xsi:nil="true"/>
    <HIMIsPermanent xmlns="31462a8c-37d5-475b-8615-fd92d8a29cdb">false</HIMIsPermanent>
    <HNConversionMethod xmlns="31462a8c-37d5-475b-8615-fd92d8a29cdb" xsi:nil="true"/>
    <HIMKonvertierungsAusschluss xmlns="31462a8c-37d5-475b-8615-fd92d8a29cdb">true</HIMKonvertierungsAusschluss>
    <HIMStatusUrl xmlns="31462a8c-37d5-475b-8615-fd92d8a29cdb" xsi:nil="true"/>
  </documentManagement>
</p:properties>
</file>

<file path=customXml/itemProps1.xml><?xml version="1.0" encoding="utf-8"?>
<ds:datastoreItem xmlns:ds="http://schemas.openxmlformats.org/officeDocument/2006/customXml" ds:itemID="{A3CEDAD2-632C-4489-A81D-528B7396C5F7}"/>
</file>

<file path=customXml/itemProps2.xml><?xml version="1.0" encoding="utf-8"?>
<ds:datastoreItem xmlns:ds="http://schemas.openxmlformats.org/officeDocument/2006/customXml" ds:itemID="{992BD36E-45B2-4A0D-837C-9880FB846B59}"/>
</file>

<file path=customXml/itemProps3.xml><?xml version="1.0" encoding="utf-8"?>
<ds:datastoreItem xmlns:ds="http://schemas.openxmlformats.org/officeDocument/2006/customXml" ds:itemID="{54231055-2837-4234-A168-7F3FEC055231}"/>
</file>

<file path=customXml/itemProps4.xml><?xml version="1.0" encoding="utf-8"?>
<ds:datastoreItem xmlns:ds="http://schemas.openxmlformats.org/officeDocument/2006/customXml" ds:itemID="{CE4A29EA-CFD6-45D5-9494-BA3610D9F30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Veröffentlichungen bis 2011</vt:lpstr>
      <vt:lpstr>'Veröffentlichungen bis 2011'!Druckbereich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FREIE UND HANSESTADT HAMBURG</dc:creator>
  <cp:lastModifiedBy>Pereira da Cunha, Viktoria</cp:lastModifiedBy>
  <cp:lastPrinted>2013-11-07T07:27:34Z</cp:lastPrinted>
  <dcterms:created xsi:type="dcterms:W3CDTF">2004-07-27T11:37:56Z</dcterms:created>
  <dcterms:modified xsi:type="dcterms:W3CDTF">2013-11-13T08:00:12Z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0x0101006D70C196DCEC43C7BF5E77BE583270F700A65CAF2932910D45A53D38A9089FCE18</vt:lpwstr>
  </property>
  <property fmtid="{D5CDD505-2E9C-101B-9397-08002B2CF9AE}" pid="3" name="_dlc_policyId">
    <vt:lpwstr/>
  </property>
  <property fmtid="{D5CDD505-2E9C-101B-9397-08002B2CF9AE}" pid="4" name="ItemRetentionFormula">
    <vt:lpwstr/>
  </property>
</Properties>
</file>